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docs.live.net/6246227e8677d37d/Documents/Karen's Documents/Work/PrescQIPP/Inhaler carbon footprint/Finals/"/>
    </mc:Choice>
  </mc:AlternateContent>
  <xr:revisionPtr revIDLastSave="1" documentId="8_{EFCA5E94-3C55-49DE-A915-BDCB651F22D1}" xr6:coauthVersionLast="47" xr6:coauthVersionMax="47" xr10:uidLastSave="{A7C530A5-8856-4412-A93A-3DAA546A7DA0}"/>
  <bookViews>
    <workbookView xWindow="-120" yWindow="-120" windowWidth="29040" windowHeight="15720" tabRatio="601" xr2:uid="{58F11AB3-7D4A-4D69-BEC4-7A554E0886DF}"/>
  </bookViews>
  <sheets>
    <sheet name=" Inhaler CF v2.35" sheetId="1" r:id="rId1"/>
    <sheet name="Methodology" sheetId="7" r:id="rId2"/>
    <sheet name="Non-asthma or COPD inhalers" sheetId="5" r:id="rId3"/>
    <sheet name="Additional information" sheetId="2" r:id="rId4"/>
    <sheet name="References" sheetId="3" r:id="rId5"/>
    <sheet name="Changes log" sheetId="6" r:id="rId6"/>
  </sheets>
  <externalReferences>
    <externalReference r:id="rId7"/>
  </externalReferences>
  <definedNames>
    <definedName name="_xlnm._FilterDatabase" localSheetId="0" hidden="1">' Inhaler CF v2.35'!$A$1:$X$156</definedName>
    <definedName name="_xlnm._FilterDatabase" localSheetId="2" hidden="1">'Non-asthma or COPD inhalers'!$A$1:$Q$11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6" i="1" l="1"/>
  <c r="I36" i="1"/>
  <c r="S35" i="1"/>
  <c r="I35" i="1"/>
  <c r="I82" i="1"/>
  <c r="U82" i="1" s="1"/>
  <c r="V82" i="1" s="1"/>
  <c r="I81" i="1"/>
  <c r="U81" i="1" s="1"/>
  <c r="V81" i="1" s="1"/>
  <c r="Q81" i="1"/>
  <c r="R81" i="1" s="1"/>
  <c r="S81" i="1"/>
  <c r="Q82" i="1"/>
  <c r="R82" i="1" s="1"/>
  <c r="S82" i="1"/>
  <c r="I114" i="1"/>
  <c r="Q114" i="1"/>
  <c r="R114" i="1" s="1"/>
  <c r="S114" i="1"/>
  <c r="I30" i="1"/>
  <c r="U30" i="1" s="1"/>
  <c r="V30" i="1" s="1"/>
  <c r="I29" i="1"/>
  <c r="U29" i="1" s="1"/>
  <c r="V29" i="1" s="1"/>
  <c r="Q30" i="1"/>
  <c r="R30" i="1" s="1"/>
  <c r="S30" i="1"/>
  <c r="Q29" i="1"/>
  <c r="R29" i="1" s="1"/>
  <c r="S29" i="1"/>
  <c r="N2" i="1"/>
  <c r="I2" i="1"/>
  <c r="U2" i="1" s="1"/>
  <c r="V2" i="1" s="1"/>
  <c r="I3" i="1"/>
  <c r="Q2" i="1"/>
  <c r="R2" i="1" s="1"/>
  <c r="S2" i="1"/>
  <c r="N147" i="1"/>
  <c r="I147" i="1"/>
  <c r="U147" i="1" s="1"/>
  <c r="V147" i="1" s="1"/>
  <c r="Q147" i="1"/>
  <c r="R147" i="1" s="1"/>
  <c r="S147" i="1"/>
  <c r="I89" i="1"/>
  <c r="U89" i="1" s="1"/>
  <c r="V89" i="1" s="1"/>
  <c r="N25" i="1" l="1"/>
  <c r="N24" i="1"/>
  <c r="N23" i="1"/>
  <c r="I25" i="1"/>
  <c r="U25" i="1" s="1"/>
  <c r="V25" i="1" s="1"/>
  <c r="I23" i="1"/>
  <c r="U23" i="1" s="1"/>
  <c r="V23" i="1" s="1"/>
  <c r="I24" i="1"/>
  <c r="U24" i="1" s="1"/>
  <c r="V24" i="1" s="1"/>
  <c r="Q25" i="1"/>
  <c r="R25" i="1" s="1"/>
  <c r="S25" i="1"/>
  <c r="Q23" i="1"/>
  <c r="R23" i="1" s="1"/>
  <c r="S23" i="1"/>
  <c r="Q24" i="1"/>
  <c r="R24" i="1" s="1"/>
  <c r="S24" i="1"/>
  <c r="U113" i="1"/>
  <c r="V113" i="1" s="1"/>
  <c r="I113" i="1"/>
  <c r="Q113" i="1"/>
  <c r="R113" i="1" s="1"/>
  <c r="S113" i="1"/>
  <c r="I155" i="1"/>
  <c r="U155" i="1" s="1"/>
  <c r="V155" i="1" s="1"/>
  <c r="I154" i="1"/>
  <c r="U154" i="1" s="1"/>
  <c r="V154" i="1" s="1"/>
  <c r="Q154" i="1"/>
  <c r="R154" i="1" s="1"/>
  <c r="S154" i="1"/>
  <c r="Q155" i="1"/>
  <c r="R155" i="1" s="1"/>
  <c r="S155" i="1"/>
  <c r="N84" i="1"/>
  <c r="M156" i="1" l="1"/>
  <c r="S156" i="1" s="1"/>
  <c r="S6" i="1"/>
  <c r="S7" i="1"/>
  <c r="S8" i="1"/>
  <c r="S9" i="1"/>
  <c r="S10" i="1"/>
  <c r="S12" i="1"/>
  <c r="S11" i="1"/>
  <c r="S13" i="1"/>
  <c r="S14" i="1"/>
  <c r="S15" i="1"/>
  <c r="S16" i="1"/>
  <c r="S17" i="1"/>
  <c r="S18" i="1"/>
  <c r="S19" i="1"/>
  <c r="S20" i="1"/>
  <c r="S21" i="1"/>
  <c r="S22" i="1"/>
  <c r="S28" i="1"/>
  <c r="S32" i="1"/>
  <c r="S33" i="1"/>
  <c r="S34"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3" i="1"/>
  <c r="S84" i="1"/>
  <c r="S85" i="1"/>
  <c r="S86" i="1"/>
  <c r="S87" i="1"/>
  <c r="S88" i="1"/>
  <c r="S90" i="1"/>
  <c r="S91" i="1"/>
  <c r="S92" i="1"/>
  <c r="S93" i="1"/>
  <c r="S94" i="1"/>
  <c r="S95" i="1"/>
  <c r="S96" i="1"/>
  <c r="S98" i="1"/>
  <c r="S99" i="1"/>
  <c r="S100" i="1"/>
  <c r="S101" i="1"/>
  <c r="S102" i="1"/>
  <c r="S103" i="1"/>
  <c r="S104" i="1"/>
  <c r="S105" i="1"/>
  <c r="S106" i="1"/>
  <c r="S107" i="1"/>
  <c r="S109" i="1"/>
  <c r="S108" i="1"/>
  <c r="S110" i="1"/>
  <c r="S111" i="1"/>
  <c r="S112" i="1"/>
  <c r="S115" i="1"/>
  <c r="S116" i="1"/>
  <c r="S117" i="1"/>
  <c r="S118" i="1"/>
  <c r="S119" i="1"/>
  <c r="S120" i="1"/>
  <c r="S121" i="1"/>
  <c r="S122" i="1"/>
  <c r="S123" i="1"/>
  <c r="S124" i="1"/>
  <c r="S125" i="1"/>
  <c r="S126" i="1"/>
  <c r="S127" i="1"/>
  <c r="S128" i="1"/>
  <c r="S129" i="1"/>
  <c r="S136" i="1"/>
  <c r="S139" i="1"/>
  <c r="S140" i="1"/>
  <c r="S141" i="1"/>
  <c r="S142" i="1"/>
  <c r="S143" i="1"/>
  <c r="S31" i="1"/>
  <c r="S145" i="1"/>
  <c r="S144" i="1"/>
  <c r="S146" i="1"/>
  <c r="S148" i="1"/>
  <c r="S149" i="1"/>
  <c r="S150" i="1"/>
  <c r="S151" i="1"/>
  <c r="S152" i="1"/>
  <c r="S153" i="1"/>
  <c r="M131" i="1"/>
  <c r="Q131" i="1" s="1"/>
  <c r="R131" i="1" s="1"/>
  <c r="I131" i="1"/>
  <c r="U131" i="1" s="1"/>
  <c r="V131" i="1" s="1"/>
  <c r="S131" i="1" l="1"/>
  <c r="M97" i="1"/>
  <c r="S97" i="1" s="1"/>
  <c r="M138" i="1"/>
  <c r="M137" i="1"/>
  <c r="S137" i="1" s="1"/>
  <c r="I138" i="1"/>
  <c r="U138" i="1" s="1"/>
  <c r="V138" i="1" s="1"/>
  <c r="M134" i="1"/>
  <c r="I134" i="1"/>
  <c r="U134" i="1" s="1"/>
  <c r="V134" i="1" s="1"/>
  <c r="N108" i="1"/>
  <c r="I108" i="1"/>
  <c r="U108" i="1" s="1"/>
  <c r="V108" i="1" s="1"/>
  <c r="Q108" i="1"/>
  <c r="R108" i="1" s="1"/>
  <c r="AL133" i="1"/>
  <c r="AM133" i="1"/>
  <c r="AN133" i="1"/>
  <c r="AE133" i="1"/>
  <c r="M133" i="1"/>
  <c r="M132" i="1"/>
  <c r="S132" i="1" s="1"/>
  <c r="I133" i="1"/>
  <c r="U133" i="1" s="1"/>
  <c r="V133" i="1" s="1"/>
  <c r="M130" i="1"/>
  <c r="S130" i="1" s="1"/>
  <c r="M135" i="1"/>
  <c r="S135" i="1" s="1"/>
  <c r="N59" i="1"/>
  <c r="N58" i="1"/>
  <c r="N57" i="1"/>
  <c r="Q133" i="1" l="1"/>
  <c r="R133" i="1" s="1"/>
  <c r="S133" i="1"/>
  <c r="Q134" i="1"/>
  <c r="R134" i="1" s="1"/>
  <c r="S134" i="1"/>
  <c r="Q138" i="1"/>
  <c r="R138" i="1" s="1"/>
  <c r="S138" i="1"/>
  <c r="N149" i="1"/>
  <c r="I149" i="1"/>
  <c r="U149" i="1" s="1"/>
  <c r="V149" i="1" s="1"/>
  <c r="Q149" i="1"/>
  <c r="R149" i="1" s="1"/>
  <c r="I144" i="1"/>
  <c r="U144" i="1" s="1"/>
  <c r="V144" i="1" s="1"/>
  <c r="N144" i="1"/>
  <c r="Q144" i="1"/>
  <c r="R144" i="1" s="1"/>
  <c r="Q8" i="1"/>
  <c r="R8" i="1" s="1"/>
  <c r="Q9" i="1"/>
  <c r="R9" i="1" s="1"/>
  <c r="Q10" i="1"/>
  <c r="R10" i="1" s="1"/>
  <c r="Q16" i="1"/>
  <c r="R16" i="1" s="1"/>
  <c r="Q17" i="1"/>
  <c r="R17" i="1" s="1"/>
  <c r="Q18" i="1"/>
  <c r="R18" i="1" s="1"/>
  <c r="Q32" i="1"/>
  <c r="R32" i="1" s="1"/>
  <c r="Q33" i="1"/>
  <c r="R33" i="1" s="1"/>
  <c r="Q34" i="1"/>
  <c r="R34" i="1" s="1"/>
  <c r="Q42" i="1"/>
  <c r="R42" i="1" s="1"/>
  <c r="Q43" i="1"/>
  <c r="R43" i="1" s="1"/>
  <c r="Q44" i="1"/>
  <c r="R44" i="1" s="1"/>
  <c r="Q50" i="1"/>
  <c r="R50" i="1" s="1"/>
  <c r="Q51" i="1"/>
  <c r="R51" i="1" s="1"/>
  <c r="Q52" i="1"/>
  <c r="R52" i="1" s="1"/>
  <c r="Q58" i="1"/>
  <c r="R58" i="1" s="1"/>
  <c r="Q59" i="1"/>
  <c r="R59" i="1" s="1"/>
  <c r="Q60" i="1"/>
  <c r="R60" i="1" s="1"/>
  <c r="Q66" i="1"/>
  <c r="R66" i="1" s="1"/>
  <c r="Q67" i="1"/>
  <c r="R67" i="1" s="1"/>
  <c r="Q68" i="1"/>
  <c r="R68" i="1" s="1"/>
  <c r="Q74" i="1"/>
  <c r="R74" i="1" s="1"/>
  <c r="Q75" i="1"/>
  <c r="R75" i="1" s="1"/>
  <c r="Q76" i="1"/>
  <c r="R76" i="1" s="1"/>
  <c r="Q84" i="1"/>
  <c r="R84" i="1" s="1"/>
  <c r="Q85" i="1"/>
  <c r="R85" i="1" s="1"/>
  <c r="Q92" i="1"/>
  <c r="R92" i="1" s="1"/>
  <c r="Q93" i="1"/>
  <c r="R93" i="1" s="1"/>
  <c r="Q94" i="1"/>
  <c r="R94" i="1" s="1"/>
  <c r="Q100" i="1"/>
  <c r="R100" i="1" s="1"/>
  <c r="Q101" i="1"/>
  <c r="R101" i="1" s="1"/>
  <c r="Q102" i="1"/>
  <c r="R102" i="1" s="1"/>
  <c r="Q109" i="1"/>
  <c r="R109" i="1" s="1"/>
  <c r="Q110" i="1"/>
  <c r="R110" i="1" s="1"/>
  <c r="Q111" i="1"/>
  <c r="R111" i="1" s="1"/>
  <c r="Q119" i="1"/>
  <c r="R119" i="1" s="1"/>
  <c r="Q120" i="1"/>
  <c r="R120" i="1" s="1"/>
  <c r="Q121" i="1"/>
  <c r="R121" i="1" s="1"/>
  <c r="Q127" i="1"/>
  <c r="R127" i="1" s="1"/>
  <c r="Q128" i="1"/>
  <c r="R128" i="1" s="1"/>
  <c r="Q129" i="1"/>
  <c r="R129" i="1" s="1"/>
  <c r="Q139" i="1"/>
  <c r="R139" i="1" s="1"/>
  <c r="Q140" i="1"/>
  <c r="R140" i="1" s="1"/>
  <c r="Q141" i="1"/>
  <c r="R141" i="1" s="1"/>
  <c r="Q148" i="1"/>
  <c r="R148" i="1" s="1"/>
  <c r="Q150" i="1"/>
  <c r="R150" i="1" s="1"/>
  <c r="Q151" i="1"/>
  <c r="R151" i="1" s="1"/>
  <c r="Q6" i="1"/>
  <c r="R6" i="1" s="1"/>
  <c r="Q7" i="1"/>
  <c r="R7" i="1" s="1"/>
  <c r="Q12" i="1"/>
  <c r="R12" i="1" s="1"/>
  <c r="Q11" i="1"/>
  <c r="R11" i="1" s="1"/>
  <c r="Q13" i="1"/>
  <c r="R13" i="1" s="1"/>
  <c r="Q14" i="1"/>
  <c r="R14" i="1" s="1"/>
  <c r="Q15" i="1"/>
  <c r="R15" i="1" s="1"/>
  <c r="Q19" i="1"/>
  <c r="R19" i="1" s="1"/>
  <c r="Q20" i="1"/>
  <c r="R20" i="1" s="1"/>
  <c r="Q21" i="1"/>
  <c r="R21" i="1" s="1"/>
  <c r="Q22" i="1"/>
  <c r="R22" i="1" s="1"/>
  <c r="Q28" i="1"/>
  <c r="R28" i="1" s="1"/>
  <c r="Q37" i="1"/>
  <c r="R37" i="1" s="1"/>
  <c r="Q38" i="1"/>
  <c r="R38" i="1" s="1"/>
  <c r="Q39" i="1"/>
  <c r="R39" i="1" s="1"/>
  <c r="Q40" i="1"/>
  <c r="R40" i="1" s="1"/>
  <c r="Q41" i="1"/>
  <c r="R41" i="1" s="1"/>
  <c r="Q45" i="1"/>
  <c r="R45" i="1" s="1"/>
  <c r="Q46" i="1"/>
  <c r="R46" i="1" s="1"/>
  <c r="Q47" i="1"/>
  <c r="R47" i="1" s="1"/>
  <c r="Q48" i="1"/>
  <c r="R48" i="1" s="1"/>
  <c r="Q49" i="1"/>
  <c r="R49" i="1" s="1"/>
  <c r="Q53" i="1"/>
  <c r="R53" i="1" s="1"/>
  <c r="Q54" i="1"/>
  <c r="R54" i="1" s="1"/>
  <c r="Q55" i="1"/>
  <c r="R55" i="1" s="1"/>
  <c r="Q56" i="1"/>
  <c r="R56" i="1" s="1"/>
  <c r="Q57" i="1"/>
  <c r="R57" i="1" s="1"/>
  <c r="Q61" i="1"/>
  <c r="R61" i="1" s="1"/>
  <c r="Q62" i="1"/>
  <c r="R62" i="1" s="1"/>
  <c r="Q63" i="1"/>
  <c r="R63" i="1" s="1"/>
  <c r="Q64" i="1"/>
  <c r="R64" i="1" s="1"/>
  <c r="Q65" i="1"/>
  <c r="R65" i="1" s="1"/>
  <c r="Q69" i="1"/>
  <c r="R69" i="1" s="1"/>
  <c r="Q70" i="1"/>
  <c r="R70" i="1" s="1"/>
  <c r="Q71" i="1"/>
  <c r="R71" i="1" s="1"/>
  <c r="Q72" i="1"/>
  <c r="R72" i="1" s="1"/>
  <c r="Q73" i="1"/>
  <c r="R73" i="1" s="1"/>
  <c r="Q77" i="1"/>
  <c r="R77" i="1" s="1"/>
  <c r="Q78" i="1"/>
  <c r="R78" i="1" s="1"/>
  <c r="Q79" i="1"/>
  <c r="R79" i="1" s="1"/>
  <c r="Q80" i="1"/>
  <c r="R80" i="1" s="1"/>
  <c r="Q83" i="1"/>
  <c r="R83" i="1" s="1"/>
  <c r="Q86" i="1"/>
  <c r="R86" i="1" s="1"/>
  <c r="Q87" i="1"/>
  <c r="R87" i="1" s="1"/>
  <c r="Q90" i="1"/>
  <c r="R90" i="1" s="1"/>
  <c r="Q91" i="1"/>
  <c r="R91" i="1" s="1"/>
  <c r="Q95" i="1"/>
  <c r="R95" i="1" s="1"/>
  <c r="Q96" i="1"/>
  <c r="R96" i="1" s="1"/>
  <c r="Q97" i="1"/>
  <c r="R97" i="1" s="1"/>
  <c r="Q98" i="1"/>
  <c r="R98" i="1" s="1"/>
  <c r="Q99" i="1"/>
  <c r="R99" i="1" s="1"/>
  <c r="Q103" i="1"/>
  <c r="R103" i="1" s="1"/>
  <c r="Q104" i="1"/>
  <c r="R104" i="1" s="1"/>
  <c r="Q105" i="1"/>
  <c r="R105" i="1" s="1"/>
  <c r="Q106" i="1"/>
  <c r="R106" i="1" s="1"/>
  <c r="Q107" i="1"/>
  <c r="R107" i="1" s="1"/>
  <c r="Q112" i="1"/>
  <c r="R112" i="1" s="1"/>
  <c r="Q115" i="1"/>
  <c r="R115" i="1" s="1"/>
  <c r="Q116" i="1"/>
  <c r="R116" i="1" s="1"/>
  <c r="Q117" i="1"/>
  <c r="R117" i="1" s="1"/>
  <c r="Q118" i="1"/>
  <c r="R118" i="1" s="1"/>
  <c r="Q122" i="1"/>
  <c r="R122" i="1" s="1"/>
  <c r="Q123" i="1"/>
  <c r="R123" i="1" s="1"/>
  <c r="Q124" i="1"/>
  <c r="R124" i="1" s="1"/>
  <c r="Q125" i="1"/>
  <c r="R125" i="1" s="1"/>
  <c r="Q126" i="1"/>
  <c r="R126" i="1" s="1"/>
  <c r="Q130" i="1"/>
  <c r="R130" i="1" s="1"/>
  <c r="Q135" i="1"/>
  <c r="R135" i="1" s="1"/>
  <c r="Q136" i="1"/>
  <c r="R136" i="1" s="1"/>
  <c r="Q137" i="1"/>
  <c r="R137" i="1" s="1"/>
  <c r="Q142" i="1"/>
  <c r="R142" i="1" s="1"/>
  <c r="Q143" i="1"/>
  <c r="R143" i="1" s="1"/>
  <c r="Q31" i="1"/>
  <c r="R31" i="1" s="1"/>
  <c r="Q145" i="1"/>
  <c r="R145" i="1" s="1"/>
  <c r="Q146" i="1"/>
  <c r="R146" i="1" s="1"/>
  <c r="Q152" i="1"/>
  <c r="R152" i="1" s="1"/>
  <c r="Q153" i="1"/>
  <c r="R153" i="1" s="1"/>
  <c r="Q156" i="1"/>
  <c r="R156" i="1" s="1"/>
  <c r="I59" i="1"/>
  <c r="U59" i="1" s="1"/>
  <c r="V59" i="1" s="1"/>
  <c r="I58" i="1"/>
  <c r="U58" i="1" s="1"/>
  <c r="V58" i="1" s="1"/>
  <c r="I57" i="1"/>
  <c r="U57" i="1" s="1"/>
  <c r="V57" i="1" s="1"/>
  <c r="O11" i="5"/>
  <c r="N11" i="5"/>
  <c r="I11" i="5"/>
  <c r="O10" i="5"/>
  <c r="N10" i="5"/>
  <c r="I10" i="5"/>
  <c r="O9" i="5"/>
  <c r="I9" i="5"/>
  <c r="O8" i="5"/>
  <c r="N8" i="5"/>
  <c r="O7" i="5"/>
  <c r="N7" i="5"/>
  <c r="O6" i="5"/>
  <c r="N6" i="5"/>
  <c r="O5" i="5"/>
  <c r="N5" i="5"/>
  <c r="O4" i="5"/>
  <c r="N4" i="5"/>
  <c r="I4" i="5"/>
  <c r="O3" i="5"/>
  <c r="N3" i="5"/>
  <c r="I3" i="5"/>
  <c r="O2" i="5"/>
  <c r="N2" i="5"/>
  <c r="I2" i="5"/>
  <c r="I11" i="1"/>
  <c r="U11" i="1" s="1"/>
  <c r="V11" i="1" s="1"/>
  <c r="N145" i="1"/>
  <c r="I145" i="1"/>
  <c r="U145" i="1" s="1"/>
  <c r="V145" i="1" s="1"/>
  <c r="I88" i="1"/>
  <c r="U88" i="1" s="1"/>
  <c r="V88" i="1" s="1"/>
  <c r="AN148" i="1"/>
  <c r="AM148" i="1"/>
  <c r="AL148" i="1"/>
  <c r="AK148" i="1"/>
  <c r="AJ148" i="1"/>
  <c r="AI148" i="1"/>
  <c r="AH148" i="1"/>
  <c r="AG148" i="1"/>
  <c r="AF148" i="1"/>
  <c r="AE148" i="1"/>
  <c r="AN78" i="1"/>
  <c r="AL78" i="1"/>
  <c r="AJ78" i="1"/>
  <c r="AI78" i="1"/>
  <c r="AH78" i="1"/>
  <c r="AG78" i="1"/>
  <c r="AF78" i="1"/>
  <c r="AE78" i="1"/>
  <c r="AN77" i="1"/>
  <c r="AL77" i="1"/>
  <c r="AJ77" i="1"/>
  <c r="AI77" i="1"/>
  <c r="AH77" i="1"/>
  <c r="AG77" i="1"/>
  <c r="AF77" i="1"/>
  <c r="AE77" i="1"/>
  <c r="AN76" i="1"/>
  <c r="AM76" i="1"/>
  <c r="AL76" i="1"/>
  <c r="AK76" i="1"/>
  <c r="AJ76" i="1"/>
  <c r="AI76" i="1"/>
  <c r="AH76" i="1"/>
  <c r="AG76" i="1"/>
  <c r="AF76" i="1"/>
  <c r="AE76" i="1"/>
  <c r="AN75" i="1"/>
  <c r="AM75" i="1"/>
  <c r="AL75" i="1"/>
  <c r="AK75" i="1"/>
  <c r="AJ75" i="1"/>
  <c r="AI75" i="1"/>
  <c r="AH75" i="1"/>
  <c r="AG75" i="1"/>
  <c r="AF75" i="1"/>
  <c r="AE75" i="1"/>
  <c r="AN40" i="1"/>
  <c r="AM40" i="1"/>
  <c r="AL40" i="1"/>
  <c r="AK40" i="1"/>
  <c r="AI40" i="1"/>
  <c r="AH40" i="1"/>
  <c r="AG40" i="1"/>
  <c r="AF40" i="1"/>
  <c r="AE40" i="1"/>
  <c r="AN39" i="1"/>
  <c r="AM39" i="1"/>
  <c r="AL39" i="1"/>
  <c r="AK39" i="1"/>
  <c r="AI39" i="1"/>
  <c r="AH39" i="1"/>
  <c r="AG39" i="1"/>
  <c r="AF39" i="1"/>
  <c r="AE39" i="1"/>
  <c r="AN38" i="1"/>
  <c r="AM38" i="1"/>
  <c r="AL38" i="1"/>
  <c r="AK38" i="1"/>
  <c r="AI38" i="1"/>
  <c r="AH38" i="1"/>
  <c r="AG38" i="1"/>
  <c r="AF38" i="1"/>
  <c r="AE38" i="1"/>
  <c r="AN37" i="1"/>
  <c r="AM37" i="1"/>
  <c r="AL37" i="1"/>
  <c r="AK37" i="1"/>
  <c r="AI37" i="1"/>
  <c r="AH37" i="1"/>
  <c r="AG37" i="1"/>
  <c r="AF37" i="1"/>
  <c r="AE37" i="1"/>
  <c r="AN20" i="1"/>
  <c r="AL20" i="1"/>
  <c r="AI20" i="1"/>
  <c r="AG20" i="1"/>
  <c r="AF20" i="1"/>
  <c r="AE20" i="1"/>
  <c r="AN56" i="1"/>
  <c r="AL56" i="1"/>
  <c r="AI56" i="1"/>
  <c r="AG56" i="1"/>
  <c r="AF56" i="1"/>
  <c r="AE56" i="1"/>
  <c r="AN55" i="1"/>
  <c r="AL55" i="1"/>
  <c r="AI55" i="1"/>
  <c r="AG55" i="1"/>
  <c r="AF55" i="1"/>
  <c r="AE55" i="1"/>
  <c r="AN19" i="1"/>
  <c r="AL19" i="1"/>
  <c r="AI19" i="1"/>
  <c r="AG19" i="1"/>
  <c r="AF19" i="1"/>
  <c r="AE19" i="1"/>
  <c r="AN18" i="1"/>
  <c r="AL18" i="1"/>
  <c r="AI18" i="1"/>
  <c r="AG18" i="1"/>
  <c r="AF18" i="1"/>
  <c r="AE18" i="1"/>
  <c r="N43" i="1"/>
  <c r="AM43" i="1" s="1"/>
  <c r="N6" i="1"/>
  <c r="N7" i="1"/>
  <c r="N129" i="1"/>
  <c r="N126" i="1"/>
  <c r="N40" i="1"/>
  <c r="N37" i="1"/>
  <c r="N103" i="1"/>
  <c r="N99" i="1"/>
  <c r="N21" i="1"/>
  <c r="N28" i="1"/>
  <c r="N32" i="1"/>
  <c r="N101" i="1"/>
  <c r="N48" i="1"/>
  <c r="N87" i="1"/>
  <c r="N127" i="1"/>
  <c r="N86" i="1"/>
  <c r="N41" i="1"/>
  <c r="AM41" i="1" s="1"/>
  <c r="N44" i="1"/>
  <c r="N95" i="1"/>
  <c r="N47" i="1"/>
  <c r="N38" i="1"/>
  <c r="N39" i="1"/>
  <c r="N51" i="1"/>
  <c r="N52" i="1"/>
  <c r="N53" i="1"/>
  <c r="N102" i="1"/>
  <c r="N98" i="1"/>
  <c r="N100" i="1"/>
  <c r="N49" i="1"/>
  <c r="N33" i="1"/>
  <c r="N79" i="1"/>
  <c r="N8" i="1"/>
  <c r="N123" i="1"/>
  <c r="N74" i="1"/>
  <c r="N136" i="1"/>
  <c r="N80" i="1"/>
  <c r="N42" i="1"/>
  <c r="AM42" i="1" s="1"/>
  <c r="N31" i="1"/>
  <c r="N85" i="1"/>
  <c r="N128" i="1"/>
  <c r="N90" i="1"/>
  <c r="N91" i="1"/>
  <c r="N92" i="1"/>
  <c r="N93" i="1"/>
  <c r="N94" i="1"/>
  <c r="N12" i="1"/>
  <c r="N96" i="1"/>
  <c r="N34" i="1"/>
  <c r="N10" i="1"/>
  <c r="N14" i="1"/>
  <c r="N15" i="1"/>
  <c r="N16" i="1"/>
  <c r="N139" i="1"/>
  <c r="N140" i="1"/>
  <c r="N109" i="1"/>
  <c r="N141" i="1"/>
  <c r="N142" i="1"/>
  <c r="N143" i="1"/>
  <c r="N9" i="1"/>
  <c r="N124" i="1"/>
  <c r="N75" i="1"/>
  <c r="N76" i="1"/>
  <c r="N77" i="1"/>
  <c r="N78" i="1"/>
  <c r="N125" i="1"/>
  <c r="N17" i="1"/>
  <c r="N110" i="1"/>
  <c r="N54" i="1"/>
  <c r="N148" i="1"/>
  <c r="N150" i="1"/>
  <c r="N151" i="1"/>
  <c r="I156" i="1"/>
  <c r="U156" i="1" s="1"/>
  <c r="V156" i="1" s="1"/>
  <c r="I153" i="1"/>
  <c r="U153" i="1" s="1"/>
  <c r="V153" i="1" s="1"/>
  <c r="I152" i="1"/>
  <c r="U152" i="1" s="1"/>
  <c r="V152" i="1" s="1"/>
  <c r="I151" i="1"/>
  <c r="U151" i="1" s="1"/>
  <c r="V151" i="1" s="1"/>
  <c r="I150" i="1"/>
  <c r="U150" i="1" s="1"/>
  <c r="V150" i="1" s="1"/>
  <c r="I148" i="1"/>
  <c r="U148" i="1" s="1"/>
  <c r="V148" i="1" s="1"/>
  <c r="I146" i="1"/>
  <c r="U146" i="1" s="1"/>
  <c r="V146" i="1" s="1"/>
  <c r="I31" i="1"/>
  <c r="U31" i="1" s="1"/>
  <c r="V31" i="1" s="1"/>
  <c r="I143" i="1"/>
  <c r="U143" i="1" s="1"/>
  <c r="V143" i="1" s="1"/>
  <c r="I142" i="1"/>
  <c r="U142" i="1" s="1"/>
  <c r="V142" i="1" s="1"/>
  <c r="I141" i="1"/>
  <c r="U141" i="1" s="1"/>
  <c r="V141" i="1" s="1"/>
  <c r="I140" i="1"/>
  <c r="U140" i="1" s="1"/>
  <c r="V140" i="1" s="1"/>
  <c r="I139" i="1"/>
  <c r="U139" i="1" s="1"/>
  <c r="V139" i="1" s="1"/>
  <c r="I137" i="1"/>
  <c r="U137" i="1" s="1"/>
  <c r="V137" i="1" s="1"/>
  <c r="I136" i="1"/>
  <c r="U136" i="1" s="1"/>
  <c r="V136" i="1" s="1"/>
  <c r="I135" i="1"/>
  <c r="U135" i="1" s="1"/>
  <c r="V135" i="1" s="1"/>
  <c r="I132" i="1"/>
  <c r="U132" i="1" s="1"/>
  <c r="V132" i="1" s="1"/>
  <c r="I130" i="1"/>
  <c r="U130" i="1" s="1"/>
  <c r="V130" i="1" s="1"/>
  <c r="I129" i="1"/>
  <c r="U129" i="1" s="1"/>
  <c r="V129" i="1" s="1"/>
  <c r="I128" i="1"/>
  <c r="U128" i="1" s="1"/>
  <c r="V128" i="1" s="1"/>
  <c r="I127" i="1"/>
  <c r="U127" i="1" s="1"/>
  <c r="V127" i="1" s="1"/>
  <c r="I126" i="1"/>
  <c r="U126" i="1" s="1"/>
  <c r="V126" i="1" s="1"/>
  <c r="I125" i="1"/>
  <c r="U125" i="1" s="1"/>
  <c r="V125" i="1" s="1"/>
  <c r="I124" i="1"/>
  <c r="U124" i="1" s="1"/>
  <c r="V124" i="1" s="1"/>
  <c r="I123" i="1"/>
  <c r="U123" i="1" s="1"/>
  <c r="V123" i="1" s="1"/>
  <c r="I122" i="1"/>
  <c r="U122" i="1" s="1"/>
  <c r="V122" i="1" s="1"/>
  <c r="I121" i="1"/>
  <c r="U121" i="1" s="1"/>
  <c r="V121" i="1" s="1"/>
  <c r="I120" i="1"/>
  <c r="U120" i="1" s="1"/>
  <c r="V120" i="1" s="1"/>
  <c r="I119" i="1"/>
  <c r="U119" i="1" s="1"/>
  <c r="V119" i="1" s="1"/>
  <c r="I118" i="1"/>
  <c r="U118" i="1" s="1"/>
  <c r="V118" i="1" s="1"/>
  <c r="I117" i="1"/>
  <c r="U117" i="1" s="1"/>
  <c r="V117" i="1" s="1"/>
  <c r="I116" i="1"/>
  <c r="U116" i="1" s="1"/>
  <c r="V116" i="1" s="1"/>
  <c r="I115" i="1"/>
  <c r="U115" i="1" s="1"/>
  <c r="V115" i="1" s="1"/>
  <c r="I112" i="1"/>
  <c r="U112" i="1" s="1"/>
  <c r="V112" i="1" s="1"/>
  <c r="I111" i="1"/>
  <c r="U111" i="1" s="1"/>
  <c r="V111" i="1" s="1"/>
  <c r="I110" i="1"/>
  <c r="U110" i="1" s="1"/>
  <c r="V110" i="1" s="1"/>
  <c r="I109" i="1"/>
  <c r="U109" i="1" s="1"/>
  <c r="V109" i="1" s="1"/>
  <c r="I107" i="1"/>
  <c r="U107" i="1" s="1"/>
  <c r="V107" i="1" s="1"/>
  <c r="I106" i="1"/>
  <c r="U106" i="1" s="1"/>
  <c r="V106" i="1" s="1"/>
  <c r="I105" i="1"/>
  <c r="U105" i="1" s="1"/>
  <c r="V105" i="1" s="1"/>
  <c r="I104" i="1"/>
  <c r="U104" i="1" s="1"/>
  <c r="V104" i="1" s="1"/>
  <c r="I103" i="1"/>
  <c r="U103" i="1" s="1"/>
  <c r="V103" i="1" s="1"/>
  <c r="I102" i="1"/>
  <c r="U102" i="1" s="1"/>
  <c r="V102" i="1" s="1"/>
  <c r="I101" i="1"/>
  <c r="U101" i="1" s="1"/>
  <c r="V101" i="1" s="1"/>
  <c r="I100" i="1"/>
  <c r="U100" i="1" s="1"/>
  <c r="V100" i="1" s="1"/>
  <c r="I99" i="1"/>
  <c r="U99" i="1" s="1"/>
  <c r="V99" i="1" s="1"/>
  <c r="I98" i="1"/>
  <c r="U98" i="1" s="1"/>
  <c r="V98" i="1" s="1"/>
  <c r="I97" i="1"/>
  <c r="U97" i="1" s="1"/>
  <c r="V97" i="1" s="1"/>
  <c r="I96" i="1"/>
  <c r="U96" i="1" s="1"/>
  <c r="V96" i="1" s="1"/>
  <c r="I95" i="1"/>
  <c r="U95" i="1" s="1"/>
  <c r="V95" i="1" s="1"/>
  <c r="I94" i="1"/>
  <c r="U94" i="1" s="1"/>
  <c r="V94" i="1" s="1"/>
  <c r="I93" i="1"/>
  <c r="U93" i="1" s="1"/>
  <c r="V93" i="1" s="1"/>
  <c r="I92" i="1"/>
  <c r="U92" i="1" s="1"/>
  <c r="V92" i="1" s="1"/>
  <c r="I91" i="1"/>
  <c r="U91" i="1" s="1"/>
  <c r="V91" i="1" s="1"/>
  <c r="I90" i="1"/>
  <c r="U90" i="1" s="1"/>
  <c r="V90" i="1" s="1"/>
  <c r="I87" i="1"/>
  <c r="U87" i="1" s="1"/>
  <c r="V87" i="1" s="1"/>
  <c r="I86" i="1"/>
  <c r="U86" i="1" s="1"/>
  <c r="V86" i="1" s="1"/>
  <c r="I85" i="1"/>
  <c r="U85" i="1" s="1"/>
  <c r="V85" i="1" s="1"/>
  <c r="I84" i="1"/>
  <c r="U84" i="1" s="1"/>
  <c r="V84" i="1" s="1"/>
  <c r="I83" i="1"/>
  <c r="U83" i="1" s="1"/>
  <c r="V83" i="1" s="1"/>
  <c r="I80" i="1"/>
  <c r="U80" i="1" s="1"/>
  <c r="V80" i="1" s="1"/>
  <c r="I79" i="1"/>
  <c r="U79" i="1" s="1"/>
  <c r="V79" i="1" s="1"/>
  <c r="I78" i="1"/>
  <c r="U78" i="1" s="1"/>
  <c r="V78" i="1" s="1"/>
  <c r="I77" i="1"/>
  <c r="U77" i="1" s="1"/>
  <c r="V77" i="1" s="1"/>
  <c r="I76" i="1"/>
  <c r="U76" i="1" s="1"/>
  <c r="V76" i="1" s="1"/>
  <c r="I75" i="1"/>
  <c r="U75" i="1" s="1"/>
  <c r="V75" i="1" s="1"/>
  <c r="I74" i="1"/>
  <c r="U74" i="1" s="1"/>
  <c r="V74" i="1" s="1"/>
  <c r="I73" i="1"/>
  <c r="U73" i="1" s="1"/>
  <c r="V73" i="1" s="1"/>
  <c r="I72" i="1"/>
  <c r="U72" i="1" s="1"/>
  <c r="V72" i="1" s="1"/>
  <c r="I71" i="1"/>
  <c r="U71" i="1" s="1"/>
  <c r="V71" i="1" s="1"/>
  <c r="I70" i="1"/>
  <c r="U70" i="1" s="1"/>
  <c r="V70" i="1" s="1"/>
  <c r="I69" i="1"/>
  <c r="U69" i="1" s="1"/>
  <c r="V69" i="1" s="1"/>
  <c r="I68" i="1"/>
  <c r="U68" i="1" s="1"/>
  <c r="V68" i="1" s="1"/>
  <c r="I67" i="1"/>
  <c r="U67" i="1" s="1"/>
  <c r="V67" i="1" s="1"/>
  <c r="I66" i="1"/>
  <c r="U66" i="1" s="1"/>
  <c r="V66" i="1" s="1"/>
  <c r="I65" i="1"/>
  <c r="U65" i="1" s="1"/>
  <c r="V65" i="1" s="1"/>
  <c r="I64" i="1"/>
  <c r="U64" i="1" s="1"/>
  <c r="V64" i="1" s="1"/>
  <c r="I63" i="1"/>
  <c r="U63" i="1" s="1"/>
  <c r="V63" i="1" s="1"/>
  <c r="I62" i="1"/>
  <c r="U62" i="1" s="1"/>
  <c r="V62" i="1" s="1"/>
  <c r="I61" i="1"/>
  <c r="U61" i="1" s="1"/>
  <c r="V61" i="1" s="1"/>
  <c r="I60" i="1"/>
  <c r="U60" i="1" s="1"/>
  <c r="V60" i="1" s="1"/>
  <c r="I56" i="1"/>
  <c r="U56" i="1" s="1"/>
  <c r="V56" i="1" s="1"/>
  <c r="I55" i="1"/>
  <c r="U55" i="1" s="1"/>
  <c r="V55" i="1" s="1"/>
  <c r="I54" i="1"/>
  <c r="U54" i="1" s="1"/>
  <c r="V54" i="1" s="1"/>
  <c r="I53" i="1"/>
  <c r="U53" i="1" s="1"/>
  <c r="V53" i="1" s="1"/>
  <c r="I52" i="1"/>
  <c r="U52" i="1" s="1"/>
  <c r="V52" i="1" s="1"/>
  <c r="I51" i="1"/>
  <c r="U51" i="1" s="1"/>
  <c r="V51" i="1" s="1"/>
  <c r="I50" i="1"/>
  <c r="U50" i="1" s="1"/>
  <c r="V50" i="1" s="1"/>
  <c r="I49" i="1"/>
  <c r="U49" i="1" s="1"/>
  <c r="V49" i="1" s="1"/>
  <c r="I48" i="1"/>
  <c r="U48" i="1" s="1"/>
  <c r="V48" i="1" s="1"/>
  <c r="I47" i="1"/>
  <c r="U47" i="1" s="1"/>
  <c r="V47" i="1" s="1"/>
  <c r="I46" i="1"/>
  <c r="U46" i="1" s="1"/>
  <c r="V46" i="1" s="1"/>
  <c r="I45" i="1"/>
  <c r="U45" i="1" s="1"/>
  <c r="V45" i="1" s="1"/>
  <c r="I44" i="1"/>
  <c r="U44" i="1" s="1"/>
  <c r="V44" i="1" s="1"/>
  <c r="I43" i="1"/>
  <c r="U43" i="1" s="1"/>
  <c r="V43" i="1" s="1"/>
  <c r="I42" i="1"/>
  <c r="U42" i="1" s="1"/>
  <c r="V42" i="1" s="1"/>
  <c r="I41" i="1"/>
  <c r="U41" i="1" s="1"/>
  <c r="V41" i="1" s="1"/>
  <c r="I40" i="1"/>
  <c r="U40" i="1" s="1"/>
  <c r="V40" i="1" s="1"/>
  <c r="I39" i="1"/>
  <c r="U39" i="1" s="1"/>
  <c r="V39" i="1" s="1"/>
  <c r="I38" i="1"/>
  <c r="U38" i="1" s="1"/>
  <c r="V38" i="1" s="1"/>
  <c r="I37" i="1"/>
  <c r="U37" i="1" s="1"/>
  <c r="V37" i="1" s="1"/>
  <c r="I34" i="1"/>
  <c r="U34" i="1" s="1"/>
  <c r="V34" i="1" s="1"/>
  <c r="I33" i="1"/>
  <c r="U33" i="1" s="1"/>
  <c r="V33" i="1" s="1"/>
  <c r="I32" i="1"/>
  <c r="U32" i="1" s="1"/>
  <c r="V32" i="1" s="1"/>
  <c r="I28" i="1"/>
  <c r="U28" i="1" s="1"/>
  <c r="V28" i="1" s="1"/>
  <c r="I22" i="1"/>
  <c r="U22" i="1" s="1"/>
  <c r="V22" i="1" s="1"/>
  <c r="I21" i="1"/>
  <c r="U21" i="1" s="1"/>
  <c r="V21" i="1" s="1"/>
  <c r="I20" i="1"/>
  <c r="U20" i="1" s="1"/>
  <c r="V20" i="1" s="1"/>
  <c r="I19" i="1"/>
  <c r="U19" i="1" s="1"/>
  <c r="V19" i="1" s="1"/>
  <c r="I18" i="1"/>
  <c r="U18" i="1" s="1"/>
  <c r="V18" i="1" s="1"/>
  <c r="I17" i="1"/>
  <c r="U17" i="1" s="1"/>
  <c r="V17" i="1" s="1"/>
  <c r="I16" i="1"/>
  <c r="U16" i="1" s="1"/>
  <c r="V16" i="1" s="1"/>
  <c r="I15" i="1"/>
  <c r="U15" i="1" s="1"/>
  <c r="V15" i="1" s="1"/>
  <c r="I14" i="1"/>
  <c r="U14" i="1" s="1"/>
  <c r="V14" i="1" s="1"/>
  <c r="I13" i="1"/>
  <c r="U13" i="1" s="1"/>
  <c r="V13" i="1" s="1"/>
  <c r="I12" i="1"/>
  <c r="U12" i="1" s="1"/>
  <c r="V12" i="1" s="1"/>
  <c r="I10" i="1"/>
  <c r="U10" i="1" s="1"/>
  <c r="V10" i="1" s="1"/>
  <c r="I9" i="1"/>
  <c r="U9" i="1" s="1"/>
  <c r="V9" i="1" s="1"/>
  <c r="I8" i="1"/>
  <c r="U8" i="1" s="1"/>
  <c r="V8" i="1" s="1"/>
  <c r="I7" i="1"/>
  <c r="U7" i="1" s="1"/>
  <c r="V7" i="1" s="1"/>
  <c r="I6" i="1"/>
  <c r="U6" i="1" s="1"/>
  <c r="V6" i="1" s="1"/>
  <c r="M5" i="1"/>
  <c r="I5" i="1"/>
  <c r="U5" i="1" s="1"/>
  <c r="V5" i="1" s="1"/>
  <c r="M4" i="1"/>
  <c r="S4" i="1" s="1"/>
  <c r="I4" i="1"/>
  <c r="U4" i="1" s="1"/>
  <c r="V4" i="1" s="1"/>
  <c r="M3" i="1"/>
  <c r="S3" i="1" s="1"/>
  <c r="U3" i="1"/>
  <c r="V3" i="1" s="1"/>
  <c r="Q5" i="1" l="1"/>
  <c r="R5" i="1" s="1"/>
  <c r="S5" i="1"/>
  <c r="N5" i="1"/>
  <c r="N4" i="1"/>
  <c r="N3" i="1"/>
  <c r="Q4" i="1"/>
  <c r="R4" i="1" s="1"/>
  <c r="Q3" i="1"/>
  <c r="R3" i="1" s="1"/>
  <c r="Q132" i="1"/>
  <c r="R132" i="1" s="1"/>
</calcChain>
</file>

<file path=xl/sharedStrings.xml><?xml version="1.0" encoding="utf-8"?>
<sst xmlns="http://schemas.openxmlformats.org/spreadsheetml/2006/main" count="5020" uniqueCount="945">
  <si>
    <t>Comments</t>
  </si>
  <si>
    <t>Manufacturers or estimated from literature carbon footprint data</t>
  </si>
  <si>
    <t>Propellant (from SPC)</t>
  </si>
  <si>
    <t xml:space="preserve">Adasuve 9.1mg/dose inhalation powder </t>
  </si>
  <si>
    <t>loxapine 9.1mg inhalation powder</t>
  </si>
  <si>
    <t>N/A</t>
  </si>
  <si>
    <t>DPI</t>
  </si>
  <si>
    <t>Carbon footprint data estimated from literature</t>
  </si>
  <si>
    <t>32688011000001108</t>
  </si>
  <si>
    <t>Sandoz Ltd</t>
  </si>
  <si>
    <t>Asthma and COPD</t>
  </si>
  <si>
    <t>ICS/LABA</t>
  </si>
  <si>
    <t>18+</t>
  </si>
  <si>
    <t>no</t>
  </si>
  <si>
    <t>Manufacturers carbon footprint data</t>
  </si>
  <si>
    <t>30950411000001104</t>
  </si>
  <si>
    <t>Yes</t>
  </si>
  <si>
    <t>N/A (DPI/SMI)</t>
  </si>
  <si>
    <t>Asthma</t>
  </si>
  <si>
    <t>pMDI</t>
  </si>
  <si>
    <t>34215411000001100</t>
  </si>
  <si>
    <t>No data was found in the literature regarding propellant weight or ethanol content (%w/w or equivalent) to enable differentiation from an equivalent MDI of the same therapeutic class. Therefore a known carbon footprint value for an MDI with the same APIs and propellant type has been applied. The source is the Regional Drug and Therapeutics Centre (hosted by Newcastle-upon-Tyne Hospitals NHS Foundation Trust).</t>
  </si>
  <si>
    <t>34215611000001102</t>
  </si>
  <si>
    <t>Teva UK Ltd</t>
  </si>
  <si>
    <t>Asthma and reversible airways obstruction</t>
  </si>
  <si>
    <t>SABA</t>
  </si>
  <si>
    <t>4+</t>
  </si>
  <si>
    <t>&lt;12, 12+</t>
  </si>
  <si>
    <t>1478511000001108</t>
  </si>
  <si>
    <t>Small volume</t>
  </si>
  <si>
    <t>No data currently available</t>
  </si>
  <si>
    <t>3214511000001102</t>
  </si>
  <si>
    <t>Mylan</t>
  </si>
  <si>
    <t>34677111000001108</t>
  </si>
  <si>
    <t>34675911000001101</t>
  </si>
  <si>
    <t>AstraZeneca UK Ltd</t>
  </si>
  <si>
    <t>ICS</t>
  </si>
  <si>
    <t>12+</t>
  </si>
  <si>
    <t>9004311000001101</t>
  </si>
  <si>
    <t>9004011000001104</t>
  </si>
  <si>
    <t>Anoro Ellipta 55 micrograms/22 micrograms inhalation powder, pre-dispensed</t>
  </si>
  <si>
    <t>GlaxoSmithKline</t>
  </si>
  <si>
    <t>umeclidinium 55 micrograms and vilanterol 22 micrograms</t>
  </si>
  <si>
    <t>COPD</t>
  </si>
  <si>
    <t>LABA/LAMA</t>
  </si>
  <si>
    <t>No</t>
  </si>
  <si>
    <t>Cradle to grave calculation performed and certified by the Carbon Trust CERT_12868</t>
  </si>
  <si>
    <t>Significant changes have been made to manufacturing processes in the last 12 months which are not part of the calculations above (as they are based on historical data). Therefore a re-assessment in the next 12-18 months is expected to reflect a lower carbon footprint due to investments in a 100% renewable energy powered manufacturing process. Please note that different companies may take different approaches and use different methodologies to calculate their 'carbon footprint'. To ensure it is directly comparable, an independent body such as the Carbon Trust should be used for the assessment of the raw data from each company, ensuring a consistent methodology and therefore direct comparability.</t>
  </si>
  <si>
    <t>Organon Pharma (UK) Limited</t>
  </si>
  <si>
    <t>4046111000001100</t>
  </si>
  <si>
    <t>Manufacturer declined to complete survey</t>
  </si>
  <si>
    <t>4045911000001109</t>
  </si>
  <si>
    <t>4044411000001102</t>
  </si>
  <si>
    <t>4043911000001108</t>
  </si>
  <si>
    <t>Novartis Pharmaceuticals UK Ltd -Sandoz Ltd</t>
  </si>
  <si>
    <t>39115511000001102</t>
  </si>
  <si>
    <t>A ‘cradle to grave’ 
carbon footprint study was undertaken by ERM for Novartis (and third party verified), assessing climate change impacts.</t>
  </si>
  <si>
    <t>x</t>
  </si>
  <si>
    <t>39116011000001101</t>
  </si>
  <si>
    <t>39114611000001104</t>
  </si>
  <si>
    <t>Chiesi Ltd</t>
  </si>
  <si>
    <t>LABA</t>
  </si>
  <si>
    <t>9628811000001103</t>
  </si>
  <si>
    <t>No data available</t>
  </si>
  <si>
    <t>Boehringer Ingelheim Ltd</t>
  </si>
  <si>
    <t>SAMA</t>
  </si>
  <si>
    <t>No lower age limit in SPC. BNF gives dosing from 1 month.</t>
  </si>
  <si>
    <t>&lt;6, 6-12, adult</t>
  </si>
  <si>
    <t>Contains alcohol, so small volume inhaler</t>
  </si>
  <si>
    <t>IPCC AR5</t>
  </si>
  <si>
    <t>Bevespi Aerosphere</t>
  </si>
  <si>
    <t>39329211000001101</t>
  </si>
  <si>
    <t>No lower age limit in SPC. BNF gives dosing from 5 years.</t>
  </si>
  <si>
    <t>Bronchitol 40 milligram inhalation powder</t>
  </si>
  <si>
    <t>Mannitol 40mg inhalation powder, hard capsules</t>
  </si>
  <si>
    <t>20515411000001107</t>
  </si>
  <si>
    <t>6+</t>
  </si>
  <si>
    <t>6-12, 13+</t>
  </si>
  <si>
    <t>9111911000001105</t>
  </si>
  <si>
    <t>Specific ages for adults and children not stated in SPC. BNF/BNFC gives doses for 2-11 and 12+.</t>
  </si>
  <si>
    <t>10618411000001108</t>
  </si>
  <si>
    <t>Chiesi have performed calculation of the carbon footprint of our products through the whole lifecycle, using a certified system based on both the ISO 14 067–2018 standard and guideline ‘Greenhouse Gas Accounting Sector Guidance for Pharmaceutical Products
and Medical Devices’ released for the pharmaceutical sector by NHS in UK. Please see attached Panigone S et al clinical paper.</t>
  </si>
  <si>
    <t>10619411000001100</t>
  </si>
  <si>
    <t>10619711000001106</t>
  </si>
  <si>
    <t>10617911000001101</t>
  </si>
  <si>
    <t>The reported data are certified by Certiquality (certificate CFPS23/18) in alignment with ISO 14067:2018 and the guideline “Greenhouse Gas Accounting Sector Guidance for Pharmaceutical Products and Medical Devices” released for the pharmaceutical sector by NHS in UK. The methodology of the analysis has been validated by Carbon Trust through a peer-review process.</t>
  </si>
  <si>
    <t>Colobreathe 1,662,500 IU inhalation powder</t>
  </si>
  <si>
    <t>Other</t>
  </si>
  <si>
    <t>22481111000001104</t>
  </si>
  <si>
    <t>Aspire Pharma</t>
  </si>
  <si>
    <t>35594311000001108</t>
  </si>
  <si>
    <t>Planned</t>
  </si>
  <si>
    <t>https://www.gov.uk/guidance/calculate-the-carbon-dioxide-equivalent-quantity-of-an-f-gas</t>
  </si>
  <si>
    <t>Currently evaluating switching to lower GWP propellants</t>
  </si>
  <si>
    <t>This calculation was based solely on the propellant and we are in the process of acquiring further data and are evaluating switching to lower GWP propellants.</t>
  </si>
  <si>
    <t>35594511000001102</t>
  </si>
  <si>
    <t>4-11, 12+</t>
  </si>
  <si>
    <t>35594111000001106</t>
  </si>
  <si>
    <t>28357511000001109</t>
  </si>
  <si>
    <t>yes</t>
  </si>
  <si>
    <t>25254211000001104</t>
  </si>
  <si>
    <t>25254911000001108</t>
  </si>
  <si>
    <t>Orion Pharma (UK) Ltd</t>
  </si>
  <si>
    <t>Adults (BNF says 18+)</t>
  </si>
  <si>
    <t>9525211000001104</t>
  </si>
  <si>
    <t>Analyses were performed according to ISO 14040 LCA standard series by a certified independent third party, Carbon Footprint Ltd.
Report available: https://www.orion.fi/en/Sustainability/stories-about-responsibility/inhaler-environmental-footprint/</t>
  </si>
  <si>
    <t>6-11, 12+</t>
  </si>
  <si>
    <t>10074011000001109</t>
  </si>
  <si>
    <t>10074811000001103</t>
  </si>
  <si>
    <t>10074511000001101</t>
  </si>
  <si>
    <t>11176511000001105</t>
  </si>
  <si>
    <t>9205311000001107</t>
  </si>
  <si>
    <t>9205011000001109</t>
  </si>
  <si>
    <t>LAMA</t>
  </si>
  <si>
    <t>20985611000001102</t>
  </si>
  <si>
    <t>Enerzair Breezhaler (with sensor)</t>
  </si>
  <si>
    <t>Novartis Pharmaceuticals UK Ltd-Sandoz Ltd</t>
  </si>
  <si>
    <t>ICS/LABA/LAMA</t>
  </si>
  <si>
    <t>39134911000001100</t>
  </si>
  <si>
    <t>Enerzair Breezhaler (without sensor)</t>
  </si>
  <si>
    <t>39134811000001105</t>
  </si>
  <si>
    <t>Flixotide Accuhaler 100 micrograms</t>
  </si>
  <si>
    <t>5+</t>
  </si>
  <si>
    <t>5-16, 17+</t>
  </si>
  <si>
    <t>Flixotide Accuhaler 250 micrograms</t>
  </si>
  <si>
    <t xml:space="preserve">17+ </t>
  </si>
  <si>
    <t>17+</t>
  </si>
  <si>
    <t>Flixotide Accuhaler 50 micrograms</t>
  </si>
  <si>
    <t>3183911000001106</t>
  </si>
  <si>
    <t>Flixotide Accuhaler 500 micrograms</t>
  </si>
  <si>
    <t>3185411000001104</t>
  </si>
  <si>
    <t>2830911000001107</t>
  </si>
  <si>
    <t>We have a commitment as a company to be net-zero by 2030 and to achieve this we are working to address our propellant emissions, including from Ventolin . We have already invested in and are actively working with partners to explore the options for an alternative, lower carbon propellant. Patient safety is the priority so changes to the produce must be carefully managed and we have resourced an internal project team to support this important work.</t>
  </si>
  <si>
    <t>Flixotide Evohaler 250 micrograms</t>
  </si>
  <si>
    <t>2831411000001108</t>
  </si>
  <si>
    <t>Flixotide Evohaler 50 micrograms</t>
  </si>
  <si>
    <t>2829311000001104</t>
  </si>
  <si>
    <t>Napp Pharmaceuticals Ltd</t>
  </si>
  <si>
    <t>12-17, 18+</t>
  </si>
  <si>
    <t>21019511000001102</t>
  </si>
  <si>
    <t>Vectura are working to quantify the Scope 3 emissions data as part of its CDP declaration in Jul'21.</t>
  </si>
  <si>
    <t>Not yet calculated - Scope 3 upstream &amp; downstream carbon calculation are required and this is currently being evaluated</t>
  </si>
  <si>
    <t>Losses During manufacturing ~ 10%</t>
  </si>
  <si>
    <t>Not yet calculated</t>
  </si>
  <si>
    <t>End use ~ 90%</t>
  </si>
  <si>
    <t>Evaluation continues and in particular around the development prospects of GWP zero HFA propellants (monitoring development activities and toxicology assessment of HFA 152a and Honeywell HFA propellants)</t>
  </si>
  <si>
    <t>No currently confirmed dates for introductions</t>
  </si>
  <si>
    <t xml:space="preserve">21019811000001104
</t>
  </si>
  <si>
    <t>5-11, 12-17, 18+</t>
  </si>
  <si>
    <t>21020711000001108</t>
  </si>
  <si>
    <t>pMDI (breath actuated)</t>
  </si>
  <si>
    <t>34950411000001101</t>
  </si>
  <si>
    <t>34950511000001102</t>
  </si>
  <si>
    <t>34812311000001108</t>
  </si>
  <si>
    <t>34950711000001107</t>
  </si>
  <si>
    <t>Novartis Pharmaceuticals UK Ltd</t>
  </si>
  <si>
    <t>SPC states that for children 6-12 years of age that need an ICS + LABA, a combination inhaler is generally more appropriate.</t>
  </si>
  <si>
    <t>7392711000001101</t>
  </si>
  <si>
    <t>12906511000001101</t>
  </si>
  <si>
    <t>31063511000001102</t>
  </si>
  <si>
    <t>Extrafine particle size distribution. When switching patients from previous treatments, it should be considered that the recommended total daily dose of beclometasone dipropionate for Fostair NEXThaler is lower than that for current beclometasone dipropionate containing non-extrafine products and should be adjusted to the needs of the individual patient.</t>
  </si>
  <si>
    <t>26112411000001101</t>
  </si>
  <si>
    <t>31063211000001100</t>
  </si>
  <si>
    <t>35515611000001101</t>
  </si>
  <si>
    <t>35515411000001104</t>
  </si>
  <si>
    <t>Incruse Ellipta 55micrograms inhalation powder, pre-dispensed</t>
  </si>
  <si>
    <t>27568011000001104</t>
  </si>
  <si>
    <t xml:space="preserve">Inhalvent 20micrograms/dose inhaler </t>
  </si>
  <si>
    <t>34954911000001104</t>
  </si>
  <si>
    <t>Beyond 2025</t>
  </si>
  <si>
    <t>Intal CFC-free Inhaler 5mg Pressurised Inhalation, Suspension</t>
  </si>
  <si>
    <t>Sanofi</t>
  </si>
  <si>
    <t>sodium cromoglicate 5mg/puff</t>
  </si>
  <si>
    <t>SPC states children and adults, BNF says 5-17, 18+</t>
  </si>
  <si>
    <t>Cipla EU Ltd</t>
  </si>
  <si>
    <t>Extrafine particle size. The recommended total daily dose of Kelhale is lower than that for most other beclometasone dipropionate containing products.</t>
  </si>
  <si>
    <t>35430411000001105</t>
  </si>
  <si>
    <t>Energy: 0.0017 gCO2e/ inhaler  (only scope 1 + 2 sources) Water: 1.49 gCO2e/ inhaler (as per PSCI emission calculations)</t>
  </si>
  <si>
    <t>Cipla recycles 100% of the equivalent of its post-consumer waste/ extended producer responsibility. This includes plastic attributed to inhaler products. Part of Scope 3 (indirect emissions, outside the control of the company) as per GHG Protocol and the company intends to calculate the same in the coming years.</t>
  </si>
  <si>
    <t>Unlike some others Kelhale does not require refrigeration</t>
  </si>
  <si>
    <t>35430211000001106</t>
  </si>
  <si>
    <t>Kent Pharmaceuticals Ltd</t>
  </si>
  <si>
    <t>19568511000001101</t>
  </si>
  <si>
    <t>17300911000001104</t>
  </si>
  <si>
    <t>17300011000001103</t>
  </si>
  <si>
    <t>Osmohale 10mg inhalation powder, hard capsule</t>
  </si>
  <si>
    <t>Mannitol 10mg inhalation powder capsules</t>
  </si>
  <si>
    <t>Diagnostic use only</t>
  </si>
  <si>
    <t>No price available</t>
  </si>
  <si>
    <t>15425811000001101</t>
  </si>
  <si>
    <t>Osmohale 20mg inhalation powder, hard capsule</t>
  </si>
  <si>
    <t>Mannitol 20mg inhalation powder capsules</t>
  </si>
  <si>
    <t>15426311000001100</t>
  </si>
  <si>
    <t>Osmohale 40mg inhalation powder, hard capsule</t>
  </si>
  <si>
    <t>Mannitol 40mg inhalation powder capsules</t>
  </si>
  <si>
    <t>15426711000001101</t>
  </si>
  <si>
    <t>Osmohale 5mg inhalation powder, hard capsule</t>
  </si>
  <si>
    <t>Mannitol 5mg inhalation powder capsules</t>
  </si>
  <si>
    <t>15425311000001105</t>
  </si>
  <si>
    <t>6-18, 19+</t>
  </si>
  <si>
    <t>3245311000001100</t>
  </si>
  <si>
    <t>3243911000001100</t>
  </si>
  <si>
    <t>Penthrox  99.9%, 3 ml inhalation vapour, liquid</t>
  </si>
  <si>
    <t>Methoxyflurane 999mg per 1gm</t>
  </si>
  <si>
    <t>31363011000001109</t>
  </si>
  <si>
    <t>5-12, 13+</t>
  </si>
  <si>
    <t>3113211000001100</t>
  </si>
  <si>
    <t>3112611000001108</t>
  </si>
  <si>
    <t>3229111000001103</t>
  </si>
  <si>
    <t>Extrafine particle size. The recommended total daily dose of Qvar is lower than that for most other beclometasone dipropionate containing products.</t>
  </si>
  <si>
    <t>HFA-134a</t>
  </si>
  <si>
    <t>3176111000001109</t>
  </si>
  <si>
    <t>3177011000001106</t>
  </si>
  <si>
    <t>3178011000001107</t>
  </si>
  <si>
    <t>3177511000001103</t>
  </si>
  <si>
    <t>8159811000001105</t>
  </si>
  <si>
    <t>8159611000001106</t>
  </si>
  <si>
    <t>Relenza 5 milligram/dose inhalation powder</t>
  </si>
  <si>
    <t>Zanamivir 5mg inhalation powder blister with Diskhaler</t>
  </si>
  <si>
    <t>4125611000001108</t>
  </si>
  <si>
    <t>Relvar Ellipta 184/22 micrograms</t>
  </si>
  <si>
    <t>23621811000001105</t>
  </si>
  <si>
    <t>Relvar Ellipta 92/22 micrograms</t>
  </si>
  <si>
    <t>23622111000001108</t>
  </si>
  <si>
    <t>1481411000001105</t>
  </si>
  <si>
    <t>3215611000001102</t>
  </si>
  <si>
    <t>6-12, 12+</t>
  </si>
  <si>
    <t>13533611000001100</t>
  </si>
  <si>
    <t>21495511000001106</t>
  </si>
  <si>
    <t>34023711000001105</t>
  </si>
  <si>
    <t>Energy: 332. 15 gCO2e/ inhaler  (only scope 1 + 2 sources) Water: 437.01 gCO2e/ inhaler (as per PSCI emission calculations</t>
  </si>
  <si>
    <t>No refrigeration required.</t>
  </si>
  <si>
    <t>34023911000001107</t>
  </si>
  <si>
    <t>3187011000001101</t>
  </si>
  <si>
    <t>Cradle to grave calculation performed and certified by the Carbon Trust CERT_12506</t>
  </si>
  <si>
    <t>3187311000001103</t>
  </si>
  <si>
    <t>3188411000001109</t>
  </si>
  <si>
    <t>2830811000001102</t>
  </si>
  <si>
    <t xml:space="preserve">We have a commitment as a company to be net-zero by 2030 and to achieve this we are working to address our propellant emissions, including from Ventolin . We have already invested in and are actively working with partners to explore the options for an alternative, lower carbon propellant. Patient safety is the priority so changes to the produce must be carefully managed and we have resourced an internal project team to support this important work. </t>
  </si>
  <si>
    <t>2831011000001104</t>
  </si>
  <si>
    <t>4-12, 12+</t>
  </si>
  <si>
    <t>3381011000001102</t>
  </si>
  <si>
    <t>10073111000001108</t>
  </si>
  <si>
    <t>29782211000001101</t>
  </si>
  <si>
    <t>29782611000001104</t>
  </si>
  <si>
    <t>13+</t>
  </si>
  <si>
    <t>33561311000001101</t>
  </si>
  <si>
    <t>Soprobec 100 micrograms</t>
  </si>
  <si>
    <t>Glenmark Pharmaceuticals Europe Ltd</t>
  </si>
  <si>
    <t>No lower age limit stated</t>
  </si>
  <si>
    <t>No lower age limit stated in SPC. Branded generic of Clenil Modulite - BNF/BNFC gives doses for 2-11 and 12+</t>
  </si>
  <si>
    <t>36603711000001104</t>
  </si>
  <si>
    <t>Soprobec 200 micrograms</t>
  </si>
  <si>
    <t>Not recommended for children</t>
  </si>
  <si>
    <t>36603511000001109</t>
  </si>
  <si>
    <t>Soprobec 250 micrograms</t>
  </si>
  <si>
    <t>36603911000001102</t>
  </si>
  <si>
    <t>Soprobec 50 micrograms</t>
  </si>
  <si>
    <t>36603311000001103</t>
  </si>
  <si>
    <t>SMI</t>
  </si>
  <si>
    <t xml:space="preserve">29971411000001107 </t>
  </si>
  <si>
    <t>n/a</t>
  </si>
  <si>
    <t>tiotropium bromide monohydrate 22.5 micrograms equivalent to 18 micrograms tiotropium</t>
  </si>
  <si>
    <t>3380511000001103</t>
  </si>
  <si>
    <t>Production = 19</t>
  </si>
  <si>
    <t>The biogenic carbon results from energy consumption (renewable-based energy carriers in the electricity grid mix and fuels) and paper products used as packaging. 
For the HandiHaler additional sources for biogenic carbon are lactose (in the formulation) and gelatin (material of the capsule), which result in a negative biogenic contribution (net carbon uptake from carbon contained in bio-based materials).</t>
  </si>
  <si>
    <t>SPC specifies the concomitant asthma treatment the person should be on with Spiriva Respimat, which varies according to age group.</t>
  </si>
  <si>
    <t>36604911000001100</t>
  </si>
  <si>
    <t>olodaterol 2.5micrograms/puff</t>
  </si>
  <si>
    <t>budesonide 80 micrograms and formoterol fumarate dihydrate 2.25 micrograms</t>
  </si>
  <si>
    <t>39106111000001103</t>
  </si>
  <si>
    <t>6-11, 12-17, 18+. MART: 12+</t>
  </si>
  <si>
    <t>3294311000001109</t>
  </si>
  <si>
    <t>32926711000001103</t>
  </si>
  <si>
    <t>maintenance:12-17, 18+.  MART: 12+</t>
  </si>
  <si>
    <t>3294711000001108</t>
  </si>
  <si>
    <t xml:space="preserve">maintenance only:12-17, 18+. </t>
  </si>
  <si>
    <t>4374111000001109</t>
  </si>
  <si>
    <t>33595011000001100</t>
  </si>
  <si>
    <t>TOBI podhaler 28mg inhalation powder capsules with device</t>
  </si>
  <si>
    <t>Tobramycin 28mg inhalation powder capsules with device</t>
  </si>
  <si>
    <t>19537111000001102</t>
  </si>
  <si>
    <t>Trelegy Ellipta 92 micrograms/55 micrograms/22 micrograms inhalation powder, pre-dispensed</t>
  </si>
  <si>
    <t>34952311000001107</t>
  </si>
  <si>
    <t>34681711000001109</t>
  </si>
  <si>
    <t>39327411000001106</t>
  </si>
  <si>
    <t>28007411000001103</t>
  </si>
  <si>
    <t>3383211000001106</t>
  </si>
  <si>
    <t>1479411000001101</t>
  </si>
  <si>
    <t>37540411000001103</t>
  </si>
  <si>
    <t>References</t>
  </si>
  <si>
    <t>Large volume</t>
  </si>
  <si>
    <t>All NHS healthcare providers in England must now use SNOMED CT for capturing clinical terms within electronic patient record systems. Northern Ireland, Scotland and Wales also have programmes of work underway in relation to SNOMED CT.</t>
  </si>
  <si>
    <t>The indicative carbon footprint calculations per 28 days or per annum assume that patients use their inhalers regularly at the stated number of puffs per day and that the total number of doses in the inhaler are 100% used. In reality, patients do not 100% comply and will not use the entire contents of the inhaler. Readers may want to take this into consideration when using these tables.</t>
  </si>
  <si>
    <t>Small volume pMDIs contain ethanol which increases the solubility and so allows less propellant to be used. pMDIs are listed as large volume if they do not contain ethanol as an excipient as listed in their SPC.</t>
  </si>
  <si>
    <t>AZ commissioned Environmental Resources Management (ERM). The methodology used was validated by Resource and Waste Solutions Partnership (RWSP) verifying compliance wth GHG Protocol Product Life Cycle Accounting and Reporting Standard.</t>
  </si>
  <si>
    <t>No ethanol, so large volume inhaler</t>
  </si>
  <si>
    <t>Assumed same as SMI</t>
  </si>
  <si>
    <t>Antipsychotic</t>
  </si>
  <si>
    <t>Mucolytic</t>
  </si>
  <si>
    <t>Antibiotic</t>
  </si>
  <si>
    <t>Anaesthetic</t>
  </si>
  <si>
    <t>Antiviral</t>
  </si>
  <si>
    <t>Aminoglycoside</t>
  </si>
  <si>
    <t>Mast-cell stabiliser</t>
  </si>
  <si>
    <t>Inhalation vapour</t>
  </si>
  <si>
    <t>5-17, 18+</t>
  </si>
  <si>
    <t>HFA-227ea</t>
  </si>
  <si>
    <t>Assume same carbon footprint as Atectura 125/260 Breezhaler</t>
  </si>
  <si>
    <t>The previous PrescQIPP indicative inhaler carbon footprint per puff values are provided for information and as a reference point. These values were estimated using information and values in literature reviews. For further information refer to https://www.prescqipp.info/our-resources/webkits/hot-topics/</t>
  </si>
  <si>
    <t>7.5-30</t>
  </si>
  <si>
    <t>130-197</t>
  </si>
  <si>
    <t>73.5-130</t>
  </si>
  <si>
    <t>Not included</t>
  </si>
  <si>
    <t>295</t>
  </si>
  <si>
    <t>112-129</t>
  </si>
  <si>
    <r>
      <t>Brand name</t>
    </r>
    <r>
      <rPr>
        <b/>
        <vertAlign val="superscript"/>
        <sz val="12"/>
        <rFont val="Arial"/>
        <family val="2"/>
      </rPr>
      <t>1</t>
    </r>
  </si>
  <si>
    <r>
      <t>Generic name</t>
    </r>
    <r>
      <rPr>
        <b/>
        <vertAlign val="superscript"/>
        <sz val="12"/>
        <rFont val="Arial"/>
        <family val="2"/>
      </rPr>
      <t>1</t>
    </r>
  </si>
  <si>
    <r>
      <t>Therapeutic group</t>
    </r>
    <r>
      <rPr>
        <b/>
        <vertAlign val="superscript"/>
        <sz val="12"/>
        <rFont val="Arial"/>
        <family val="2"/>
      </rPr>
      <t>1</t>
    </r>
  </si>
  <si>
    <r>
      <t>Device type</t>
    </r>
    <r>
      <rPr>
        <b/>
        <vertAlign val="superscript"/>
        <sz val="12"/>
        <rFont val="Arial"/>
        <family val="2"/>
      </rPr>
      <t>1</t>
    </r>
  </si>
  <si>
    <r>
      <t>Doses per inhaler</t>
    </r>
    <r>
      <rPr>
        <b/>
        <vertAlign val="superscript"/>
        <sz val="12"/>
        <rFont val="Arial"/>
        <family val="2"/>
      </rPr>
      <t>1,2</t>
    </r>
  </si>
  <si>
    <r>
      <t>Indicative cost per 28 days</t>
    </r>
    <r>
      <rPr>
        <b/>
        <vertAlign val="superscript"/>
        <sz val="12"/>
        <rFont val="Calibri"/>
        <family val="2"/>
        <scheme val="minor"/>
      </rPr>
      <t>1,5</t>
    </r>
  </si>
  <si>
    <t xml:space="preserve">This data is included in the API raw materials and manufacturing data </t>
  </si>
  <si>
    <t xml:space="preserve">This data is included in the energy and water consumption footprint - our breakdown was by process step that took place in different manufacturing locations - eg API manufacturing sites, device component manufacturing sites, formulation &amp; inhaler assembly sites </t>
  </si>
  <si>
    <t>This data is included in the energy and water consumption footprint - our breakdown was by process step that took place in different manufacturing locations - eg API manufacturing sites, device component manufacturing sites, formulation &amp; inhaler assembly</t>
  </si>
  <si>
    <t>Primary care rebates information relates to rebates available to NHS commissioners in England only as these are agreed on an organisational basis in England. In Wales, Scotland and Northern Ireland primary care rebates are managed centrally at a national level.</t>
  </si>
  <si>
    <t>Lupin Healthcare (UK) Ltd</t>
  </si>
  <si>
    <t>39817611000001104</t>
  </si>
  <si>
    <t>Included in column AD</t>
  </si>
  <si>
    <t>39605811000001103</t>
  </si>
  <si>
    <r>
      <t>Hospital only -Used in hospital under specialist supervision for the rapid control of mild-to-moderate agitation in patients with schizophrenia or bipolar disorder</t>
    </r>
    <r>
      <rPr>
        <vertAlign val="superscript"/>
        <sz val="12"/>
        <rFont val="Arial"/>
        <family val="2"/>
      </rPr>
      <t>1</t>
    </r>
  </si>
  <si>
    <t>Now marketed by Covis Pharma</t>
  </si>
  <si>
    <t>9342511000001108</t>
  </si>
  <si>
    <t>There is a maximum of 15 digits allowed in Excel and so the apostrophe character (') is used in front of the SNOMED number within the cell.</t>
  </si>
  <si>
    <r>
      <t>Indicative cost per annum</t>
    </r>
    <r>
      <rPr>
        <b/>
        <vertAlign val="superscript"/>
        <sz val="12"/>
        <rFont val="Arial"/>
        <family val="2"/>
      </rPr>
      <t>1,5</t>
    </r>
  </si>
  <si>
    <r>
      <t>Alissa Healthcare Research Ltd</t>
    </r>
    <r>
      <rPr>
        <vertAlign val="superscript"/>
        <sz val="12"/>
        <rFont val="Arial"/>
        <family val="2"/>
      </rPr>
      <t>1</t>
    </r>
  </si>
  <si>
    <t>AirFluSal Forspiro 50/500 micrograms</t>
  </si>
  <si>
    <t>salmeterol 50 micrograms and fluticasone propionate 500 micrograms/puff</t>
  </si>
  <si>
    <t>AirFluSal MDI 25/125 micrograms</t>
  </si>
  <si>
    <t>AirFluSal MDI 25/250 micrograms</t>
  </si>
  <si>
    <t>Airomir 100 micrograms</t>
  </si>
  <si>
    <t>salmeterol 25 micrograms and fluticasone propionate 125 micrograms/puff</t>
  </si>
  <si>
    <t>salmeterol 25 micrograms and fluticasone propionate 250 micrograms/puff</t>
  </si>
  <si>
    <t>salbutamol 100 micrograms/puff</t>
  </si>
  <si>
    <t>Airomir Autohaler 100 micrograms</t>
  </si>
  <si>
    <t>Aloflute MDI 25/125 micrograms</t>
  </si>
  <si>
    <t>Aloflute MDI 25/250 micrograms</t>
  </si>
  <si>
    <t>Alvesco 160 micrograms</t>
  </si>
  <si>
    <t>ciclesonide 160 micrograms/puff</t>
  </si>
  <si>
    <t>Alvesco 80 micrograms</t>
  </si>
  <si>
    <t>ciclesonide 80 micrograms/puff</t>
  </si>
  <si>
    <t>Asmanex Twisthaler 200 micrograms</t>
  </si>
  <si>
    <t>mometasone furoate 200 micrograms/inhalation</t>
  </si>
  <si>
    <t>Asmanex Twisthaler 400 micrograms</t>
  </si>
  <si>
    <t>mometasone furoate 400 micrograms/inhalation</t>
  </si>
  <si>
    <t>Atectura Breezhaler 125 micrograms / 127.5 micrograms</t>
  </si>
  <si>
    <t>Atectura Breezhaler 125 micrograms / 260 micrograms</t>
  </si>
  <si>
    <t>Atectura Breezhaler 125 micrograms / 62.5 micrograms</t>
  </si>
  <si>
    <t>Atimos Modulite 12 micrograms</t>
  </si>
  <si>
    <t>formoterol fumarate dihydrate 12 micrograms/puff</t>
  </si>
  <si>
    <t>Atrovent 20 micrograms</t>
  </si>
  <si>
    <t>ipratropium bromide 20 micrograms/puff</t>
  </si>
  <si>
    <t>Bricanyl Turbohaler 500 micrograms</t>
  </si>
  <si>
    <t>terbutaline 500 micrograms/puff</t>
  </si>
  <si>
    <t>Budelin Novolizer 200 micrograms</t>
  </si>
  <si>
    <t>budesonide 200 micrograms/inhalation (cartridge only)</t>
  </si>
  <si>
    <t>budesonide 200 micrograms/inhalation (cartridge + inhaler)</t>
  </si>
  <si>
    <t>Clenil Modulite 100 micrograms</t>
  </si>
  <si>
    <t>beclometasone dipropionate 100 micrograms/puff</t>
  </si>
  <si>
    <t>Clenil Modulite 200 micrograms</t>
  </si>
  <si>
    <t>beclometasone dipropionate 200 micrograms/puff</t>
  </si>
  <si>
    <t>Clenil Modulite 250 micrograms</t>
  </si>
  <si>
    <t>beclometasone dipropionate 250 micrograms/puff</t>
  </si>
  <si>
    <t>Clenil Modulite 50 micrograms</t>
  </si>
  <si>
    <t>beclometasone dipropionate 50 micrograms/puff</t>
  </si>
  <si>
    <t>Combisal 25/125 micrograms</t>
  </si>
  <si>
    <t>Combisal 25/250 micrograms</t>
  </si>
  <si>
    <t>Combisal 25/50 micrograms</t>
  </si>
  <si>
    <t>salmeterol 25 micrograms and fluticasone propionate 50 micrograms/puff</t>
  </si>
  <si>
    <t>DuoResp Spiromax 160/4.5 micrograms</t>
  </si>
  <si>
    <t>formoterol fumarate dihydrate 6 micrograms and budesonide 200 micrograms/puff </t>
  </si>
  <si>
    <t>DuoResp Spiromax 320/9 micrograms</t>
  </si>
  <si>
    <t>formoterol fumarate dihydrate 12 micrograms and budesonide 400 micrograms/puff </t>
  </si>
  <si>
    <t>Easyhaler Beclometasone 200 micrograms</t>
  </si>
  <si>
    <t>beclometasone dipropionate 200 micrograms/inhalation</t>
  </si>
  <si>
    <t>Easyhaler Budesonide 100 micrograms</t>
  </si>
  <si>
    <t>budesonide 100 micrograms/inhalation</t>
  </si>
  <si>
    <t>Easyhaler Budesonide 200 micrograms</t>
  </si>
  <si>
    <t>budesonide 200 micrograms/inhalation</t>
  </si>
  <si>
    <t>Easyhaler Budesonide 400 micrograms</t>
  </si>
  <si>
    <t>budesonide 400 micrograms/inhalation</t>
  </si>
  <si>
    <t>Easyhaler Formoterol 12 micrograms</t>
  </si>
  <si>
    <t>formoterol fumarate dihydrate 12 micrograms/inhalation</t>
  </si>
  <si>
    <t>Easyhaler Salbutamol 100 micrograms</t>
  </si>
  <si>
    <t>Easyhaler Salbutamol 200 micrograms</t>
  </si>
  <si>
    <t>Eklira Genuair 322 micrograms inhalation powder</t>
  </si>
  <si>
    <t>fluticasone propionate 100 micrograms/inhalation</t>
  </si>
  <si>
    <t>fluticasone propionate 250 micrograms/inhalation</t>
  </si>
  <si>
    <t>fluticasone propionate 50 micrograms/inhalation</t>
  </si>
  <si>
    <t>fluticasone propionate 500 micrograms/inhalation</t>
  </si>
  <si>
    <t>Flixotide Evohaler 125 microgramss</t>
  </si>
  <si>
    <t>fluticasone propionate 125 micrograms/puff</t>
  </si>
  <si>
    <t>fluticasone propionate 250 micrograms/puff</t>
  </si>
  <si>
    <t>fluticasone propionate 50 micrograms/puff</t>
  </si>
  <si>
    <t>Flutiform 125/5 micrograms</t>
  </si>
  <si>
    <t xml:space="preserve">formoterol fumarate dihydrate 5 micrograms and fluticasone propionate 125 micrograms/puff </t>
  </si>
  <si>
    <t xml:space="preserve">formoterol fumarate dihydrate 10 micrograms and fluticasone propionate 250 micrograms/puff </t>
  </si>
  <si>
    <t>Flutiform 50/5 micrograms</t>
  </si>
  <si>
    <t xml:space="preserve">formoterol fumarate dihydrate 5 micrograms and fluticasone propionate 50 micrograms/puff </t>
  </si>
  <si>
    <t>Fobumix Easyhaler 160/4.5 micrograms</t>
  </si>
  <si>
    <t>formoterol fumarate dihydrate 4.5 micrograms and budesonide 160 micrograms/puff</t>
  </si>
  <si>
    <t>Fobumix Easyhaler 320/9 micrograms</t>
  </si>
  <si>
    <t>formoterol fumarate dihydrate 9 micrograms and budesonide 320 micrograms/puff</t>
  </si>
  <si>
    <t>Fobumix Easyhaler 80/4.5 micrograms</t>
  </si>
  <si>
    <t>formoterol fumarate dihydrate 4.5 micrograms and budesonide 80 micrograms/puff</t>
  </si>
  <si>
    <t>Foradil 12 micrograms</t>
  </si>
  <si>
    <t>formoterol fumarate dihydrate 12 micrograms/capsule</t>
  </si>
  <si>
    <t>Fostair 100/6 micrograms</t>
  </si>
  <si>
    <t>formoterol fumarate dihydrate 6 micrograms and beclometasone dipropionate 100 micrograms/puff</t>
  </si>
  <si>
    <t>Fostair 200/6 micrograms</t>
  </si>
  <si>
    <t>formoterol fumarate dihydrate 6 micrograms and beclometasone dipropionate 200 micrograms/puff</t>
  </si>
  <si>
    <t>Fostair Nexthaler 100/6 micrograms</t>
  </si>
  <si>
    <t>Fusacomb Easyhaler 50/250 micrograms</t>
  </si>
  <si>
    <t>salmeterol 50 micrograms and fluticasone propionate 250 micrograms/puff</t>
  </si>
  <si>
    <t>Fusacomb Easyhaler 50/500 micrograms</t>
  </si>
  <si>
    <t>Kelhale 100 micrograms</t>
  </si>
  <si>
    <t>Kelhale 50 micrograms</t>
  </si>
  <si>
    <t>Neovent 25 micrograms</t>
  </si>
  <si>
    <t>salmeterol 25 micrograms/puff</t>
  </si>
  <si>
    <t>Onbrez Breezhaler 150 micrograms inhalation powder, hard capsules</t>
  </si>
  <si>
    <t>Onbrez Breezhaler 300 micrograms inhalation powder, hard capsules</t>
  </si>
  <si>
    <t>Oxis Turbohaler 12 micrograms</t>
  </si>
  <si>
    <t>Oxis Turbohaler 6 micrograms</t>
  </si>
  <si>
    <t>formoterol fumarate dihydrate 6 micrograms/inhalation</t>
  </si>
  <si>
    <t>Pulmicort Turbohaler 100 micrograms</t>
  </si>
  <si>
    <t>Pulmicort Turbohaler 200 micrograms</t>
  </si>
  <si>
    <t>Pulmicort Turbohaler 400 micrograms</t>
  </si>
  <si>
    <t>Qvar 100 micrograms</t>
  </si>
  <si>
    <t>Qvar 50 micrograms</t>
  </si>
  <si>
    <t>Qvar Autohaler 100 micrograms</t>
  </si>
  <si>
    <t>Qvar Autohaler 50 micrograms</t>
  </si>
  <si>
    <t>Qvar Easi-Breathe 100 micrograms</t>
  </si>
  <si>
    <t>Qvar Easi-Breathe 50 micrograms</t>
  </si>
  <si>
    <t>vilanterol 22 micrograms and fluticasone furoate 184 micrograms/puff</t>
  </si>
  <si>
    <t>vilanterol 22 micrograms and fluticasone furoate 92 micrograms/puff</t>
  </si>
  <si>
    <t>Salamol CFC-Free Inhaler  100 micrograms</t>
  </si>
  <si>
    <t>Salamol Easi-Breathe 100 micrograms</t>
  </si>
  <si>
    <t>Salbulin Novolizer 100 micrograms</t>
  </si>
  <si>
    <t>salbutamol 100 micrograms/puff (cartridge + inhaler)</t>
  </si>
  <si>
    <t>Seebri Breezhaler 44 micrograms inhalation powder, hard capsules</t>
  </si>
  <si>
    <t>Sereflo 25/125 micrograms</t>
  </si>
  <si>
    <t>Sereflo 25/250 micrograms</t>
  </si>
  <si>
    <t>Seretide Accuhaler 50/100 micrograms</t>
  </si>
  <si>
    <t>salmeterol 50 micrograms and fluticasone propionate 100 micrograms/puff</t>
  </si>
  <si>
    <t>Seretide Accuhaler 50/250 micrograms</t>
  </si>
  <si>
    <t>Seretide Accuhaler 50/500 micrograms</t>
  </si>
  <si>
    <t>Seretide Evohaler 25/125 micrograms</t>
  </si>
  <si>
    <t>Seretide Evohaler 25/250 micrograms</t>
  </si>
  <si>
    <t>Seretide Evohaler 25/50 micrograms</t>
  </si>
  <si>
    <t>Serevent Accuhaler 50 micrograms</t>
  </si>
  <si>
    <t>salmeterol (as xinafoate) 50 micrograms/inhalation</t>
  </si>
  <si>
    <t>Serevent Evohaler 25 micrograms</t>
  </si>
  <si>
    <t>salmeterol (as xinafoate) 25 micrograms/puff</t>
  </si>
  <si>
    <t>Sirdupla 25/125 micrograms</t>
  </si>
  <si>
    <t>Sirdupla 25/250 micrograms</t>
  </si>
  <si>
    <t>Soltel 25 micrograms</t>
  </si>
  <si>
    <t>tiotropium 2.5 micrograms and 2.5 micrograms olodaterol/puff</t>
  </si>
  <si>
    <t>Spiriva 18 micrograms inhalation powder</t>
  </si>
  <si>
    <t>tiotropium 2.5 micrograms per puff</t>
  </si>
  <si>
    <t>Stalpex 50/500 micrograms</t>
  </si>
  <si>
    <t>Symbicort 100/3 micrograms pMDI</t>
  </si>
  <si>
    <t>Symbicort 100/6 micrograms Turbohaler</t>
  </si>
  <si>
    <t>formoterol fumarate dihydrate 6 micrograms and budesonide 100 micrograms/puff </t>
  </si>
  <si>
    <t>Symbicort 200/6 micrograms pMDI</t>
  </si>
  <si>
    <t>budesonide 160 microgramss/actuation and formoterol fumarate dihydrate 4.5 microgramss/actuation.</t>
  </si>
  <si>
    <t>Symbicort 200/6 micrograms Turbohaler</t>
  </si>
  <si>
    <t>Symbicort 400/12 micrograms Turbohaler</t>
  </si>
  <si>
    <t>Trixeo Aerosphere 5 micrograms / 160 micrograms / 7.2 micrograms</t>
  </si>
  <si>
    <t>Ventolin Accuhaler 200 micrograms</t>
  </si>
  <si>
    <t>salbutamol 200 micrograms/puff</t>
  </si>
  <si>
    <t>Ventolin Evohaler 100 micrograms</t>
  </si>
  <si>
    <t>Flutiform 250/10 micrograms</t>
  </si>
  <si>
    <t>Fostair Nexthaler 200/6 micrograms</t>
  </si>
  <si>
    <t>umeclidinium 55 micrograms/puff</t>
  </si>
  <si>
    <t>indacaterol 300 micrograms inhalation powder, hard capsule</t>
  </si>
  <si>
    <t>indacaterol 150 micrograms inhalation powder, hard capsule</t>
  </si>
  <si>
    <t>glycopyrronium 44 micrograms inhalation powder, hard capsule</t>
  </si>
  <si>
    <t>tiotropium 10 micrograms inhalation powder, hard capsule</t>
  </si>
  <si>
    <t>indacaterol 85 micrograms and glycopyrronium 43 micrograms inhalation powder, hard capsule</t>
  </si>
  <si>
    <t>formoterol fumarate 5 micrograms / glycopyrronium 7.2 micrograms / budesonide 160 micrograms/ dose</t>
  </si>
  <si>
    <t>aclidinium bromide 322 micrograms/puff</t>
  </si>
  <si>
    <t>indacaterol 114micrograms / glycopyrronium 46 micrograms  / mometasone 136 micrograms inhalation powder, hard capsules</t>
  </si>
  <si>
    <t>indacaterol 114 micrograms / glycopyrronium 46 micrograms  / mometasone 136 micrograms inhalation powder, hard capsules</t>
  </si>
  <si>
    <t>ipratropium bromide 20 micrograms/actuation pressurised inhalation, solution</t>
  </si>
  <si>
    <t>aclidinium bromide 322 micrograms and formoterol fumarate 12 micrograms/puff</t>
  </si>
  <si>
    <t>formoterol fumarate dihydrate 5 micrograms / glycopyrronium 7.2 micrograms/puff</t>
  </si>
  <si>
    <t>indacaterol 125 micrograms / mometasone furoate 62.5 micrograms per 1 dose</t>
  </si>
  <si>
    <t>indacaterol 125 micrograms / mometasone furoate 260 micrograms per 1 dose</t>
  </si>
  <si>
    <t>indacaterol 125 micrograms / mometasone furoate 127.5 micrograms per 1 dose</t>
  </si>
  <si>
    <t>tiotropium 18 micrograms inhalation powder, hard capsules with device</t>
  </si>
  <si>
    <t>Ultibro Breezhaler 85 micrograms /43 micrograms inhalation powder hard capsules</t>
  </si>
  <si>
    <t>beclometasone 87 micrograms/ formoterol 5 micrograms/ glycopyrronium 9 micrograms/puff</t>
  </si>
  <si>
    <t>fluticasone furoate 92 micrograms/ umeclidinium 55 micrograms/ vilanterol 22 micrograms/puff</t>
  </si>
  <si>
    <t>Tiogiva 18 micrograms, inhalation powder, hard capsule</t>
  </si>
  <si>
    <t>Trimbow 87 micrograms/ 5 micrograms/ 9 micrograms pressurised inhalation, solution</t>
  </si>
  <si>
    <t>SPC states this strength not recommended for children (no age specified)</t>
  </si>
  <si>
    <t>12-16 year olds classed as children for dosing. Max dose in children 200micrograms bd (SPC)</t>
  </si>
  <si>
    <t>12-16 year olds classed as children for dosing. Max dose in children 200micrograms bd (SPC). Carbon footprint data based on 250mcg strength Flixotide Evohaler.</t>
  </si>
  <si>
    <t>Each delivered dose (the dose that leaves the mouthpiece) contains: budesonide 160 micrograms/inhalation and formoterol fumarate dihydrate 4.5 micrograms/inhalation. With the Fobumix Easyhaler device the delivered dose (the dose that leaves the mouthpiece) contains a similar quantity of active substance as the metered dose.</t>
  </si>
  <si>
    <t>Each delivered dose (the dose that leaves the mouthpiece) contains: budesonide 320 micrograms/inhalation and formoterol fumarate dihydrate 9 micrograms/inhalation. With the Fobumix Easyhaler device the delivered dose (the dose that leaves the mouthpiece) contains a similar quantity of active substance as the metered dose.</t>
  </si>
  <si>
    <t>Each delivered dose (the dose that leaves the mouthpiece) contains: budesonide 80 micrograms/inhalation and formoterol fumarate dihydrate 4.5 micrograms/inhalation. With the Fobumix Easyhaler device the delivered dose (the dose that leaves the mouthpiece) contains a similar quantity of active substance as the metered dose.</t>
  </si>
  <si>
    <t>Extrafine particle size distribution which results in a more potent effect than formulations of beclometasone dipropionate with a non-extrafine particle size distribution (100 micrograms of beclometasone dipropionate extrafine in Fostair are equivalent to 250 micrograms of beclometasone dipropionate in a non-extrafine formulation). </t>
  </si>
  <si>
    <t>Refer HFA 227ea patent information 
(reference: Mueller-Walz R, Fueg LM. Medicinal aerosol formulations, 2014. Available: https://www.google.com/patents/ US20140314684)</t>
  </si>
  <si>
    <t>x - Note: Raw material distribution and site waste are included but are aggregated into other life cycle stages.</t>
  </si>
  <si>
    <t xml:space="preserve">The Breezhaler case study - https://www.novartis.com/our-company/corporate-responsibility/environmental-sustainability/climate/case-study-breezhaler-carbon-footprint.*Note: The Breezhaler carbon footprint is in the process of being updated to reflect a new emission factor for aluminum and the ecoinvent version 3.6 database rather than 3.5. This will be reflected shortly in the Breezhaler case study on Novartis.com </t>
  </si>
  <si>
    <t xml:space="preserve">This data is included in the energy and water consumption footprint - our breakdown was by process step that took place in different manufacturing locations - e.g. API manufacturing sites, device component manufacturing sites, formulation &amp; inhaler assembly sites </t>
  </si>
  <si>
    <t>This data is included in the energy and water consumption footprint - our breakdown was by process step that took place in different manufacturing locations - e.g. API manufacturing sites, device component manufacturing sites, formulation &amp; inhaler assembly</t>
  </si>
  <si>
    <t xml:space="preserve">We have a commitment as a company to be net-zero by 2030 and to achieve this we are working to address our propellant emissions, including from Ventolin. We have already invested in and are actively working with partners to explore the options for an alternative, lower carbon propellant. Patient safety is the priority so changes to the produce must be carefully managed and we have resourced an internal project team to support this important work. </t>
  </si>
  <si>
    <t>Colistimethate sodium 125mg (1,662,500 IU) inhalation powder, hard capsules</t>
  </si>
  <si>
    <t>Thornton &amp; Ross Ltd</t>
  </si>
  <si>
    <t>salmeterol 50 microgram and fluticasone propionate 100 microgram/puff</t>
  </si>
  <si>
    <t>39567911000001105</t>
  </si>
  <si>
    <t>salmeterol 50 microgram and fluticasone propionate 250 microgram/puff</t>
  </si>
  <si>
    <t>39567711000001108</t>
  </si>
  <si>
    <t>salmeterol 50 microgram and fluticasone propionate 500 microgram/puff</t>
  </si>
  <si>
    <t>39567511000001103</t>
  </si>
  <si>
    <t>Fixkoh Airmaster 50micrograms/100 micrograms dose inhalation powder, pre-dispensed</t>
  </si>
  <si>
    <t>Fixkoh Airmaster 50micrograms/250 micrograms dose inhalation powder, pre-dispensed</t>
  </si>
  <si>
    <t>Fixkoh Airmaster 50micrograms/500 micrograms dose inhalation powder, pre-dispensed</t>
  </si>
  <si>
    <t>Braltus 10 micrograms inhalation powder</t>
  </si>
  <si>
    <t>All inhaler manufacturers were asked to complete the inhaler carbon footprint information. Not all manufacturers had data available or did not provide data. Column V, "Manufacturers or estimated from literature carbon footprint data" states where manufacturers have provided this data.</t>
  </si>
  <si>
    <t>For salbutamol inhalers, it was assumed that two inhalers per annum would be prescribed.</t>
  </si>
  <si>
    <t>Non-asthma or COPD inhalers available in the UK have been included in a separate tab for information. They are all DPI/SMIs. No switches have been suggested for these as currently there are no alternatives.</t>
  </si>
  <si>
    <r>
      <t>Manufacturer</t>
    </r>
    <r>
      <rPr>
        <b/>
        <vertAlign val="superscript"/>
        <sz val="12"/>
        <rFont val="Arial"/>
        <family val="2"/>
      </rPr>
      <t>1</t>
    </r>
  </si>
  <si>
    <r>
      <t>Indication: asthma, COPD or asthma and COPD</t>
    </r>
    <r>
      <rPr>
        <b/>
        <vertAlign val="superscript"/>
        <sz val="12"/>
        <rFont val="Arial"/>
        <family val="2"/>
      </rPr>
      <t>1-4</t>
    </r>
  </si>
  <si>
    <r>
      <t xml:space="preserve">Indication: asthma, COPD or asthma and COPD or other </t>
    </r>
    <r>
      <rPr>
        <b/>
        <vertAlign val="superscript"/>
        <sz val="12"/>
        <rFont val="Arial"/>
        <family val="2"/>
      </rPr>
      <t>1-4</t>
    </r>
  </si>
  <si>
    <t>3. European Public Assessment Report. Available at https://www.ema.europa.eu/en/glossary/european-public-assessment-report Accessed 26/06/21.</t>
  </si>
  <si>
    <t>7. Manufacturers survey</t>
  </si>
  <si>
    <r>
      <t xml:space="preserve">NHS cost per inhaler </t>
    </r>
    <r>
      <rPr>
        <b/>
        <vertAlign val="superscript"/>
        <sz val="12"/>
        <rFont val="Arial"/>
        <family val="2"/>
      </rPr>
      <t>1,5-7</t>
    </r>
  </si>
  <si>
    <r>
      <t xml:space="preserve">Cost/puff </t>
    </r>
    <r>
      <rPr>
        <b/>
        <vertAlign val="superscript"/>
        <sz val="12"/>
        <rFont val="Arial"/>
        <family val="2"/>
      </rPr>
      <t>1,5-7</t>
    </r>
  </si>
  <si>
    <r>
      <t>Age licensed from</t>
    </r>
    <r>
      <rPr>
        <b/>
        <vertAlign val="superscript"/>
        <sz val="12"/>
        <rFont val="Arial"/>
        <family val="2"/>
      </rPr>
      <t>1-4</t>
    </r>
  </si>
  <si>
    <r>
      <t>Age ranges for doses</t>
    </r>
    <r>
      <rPr>
        <b/>
        <vertAlign val="superscript"/>
        <sz val="12"/>
        <rFont val="Arial"/>
        <family val="2"/>
      </rPr>
      <t>1-4</t>
    </r>
  </si>
  <si>
    <r>
      <t>MART licence?</t>
    </r>
    <r>
      <rPr>
        <b/>
        <vertAlign val="superscript"/>
        <sz val="12"/>
        <rFont val="Arial"/>
        <family val="2"/>
      </rPr>
      <t>1-4</t>
    </r>
  </si>
  <si>
    <t>8. Wilkinson AJK, Braggins R, Steinbach I, Smith J. Costs of switching to low global warming potential inhalers. An economic and carbon footprint analysis of NHS prescription data in England. BMJ Open. 2019 Oct;9(10):e028763. DOI: 10.1136/bmjopen-2018-028763.</t>
  </si>
  <si>
    <r>
      <t>Number of puffs per 28 days</t>
    </r>
    <r>
      <rPr>
        <b/>
        <vertAlign val="superscript"/>
        <sz val="12"/>
        <rFont val="Arial"/>
        <family val="2"/>
      </rPr>
      <t>1-4</t>
    </r>
  </si>
  <si>
    <t xml:space="preserve">9. NHSBSA. BNF SNOMED mapping document March 2021. Available at https://www.nhsbsa.nhs.uk/prescription-data/understanding-our-data/bnf-snomed-mapping </t>
  </si>
  <si>
    <r>
      <t>Product AMPP SNOWMED code</t>
    </r>
    <r>
      <rPr>
        <b/>
        <vertAlign val="superscript"/>
        <sz val="12"/>
        <rFont val="Arial"/>
        <family val="2"/>
      </rPr>
      <t>9</t>
    </r>
  </si>
  <si>
    <r>
      <t>Primary care rebate available (England)?</t>
    </r>
    <r>
      <rPr>
        <b/>
        <vertAlign val="superscript"/>
        <sz val="12"/>
        <rFont val="Arial"/>
        <family val="2"/>
      </rPr>
      <t>7</t>
    </r>
  </si>
  <si>
    <r>
      <t>If other propellant please state</t>
    </r>
    <r>
      <rPr>
        <b/>
        <vertAlign val="superscript"/>
        <sz val="12"/>
        <rFont val="Arial"/>
        <family val="2"/>
      </rPr>
      <t>7</t>
    </r>
  </si>
  <si>
    <r>
      <t>Inhaler volume</t>
    </r>
    <r>
      <rPr>
        <b/>
        <vertAlign val="superscript"/>
        <sz val="12"/>
        <rFont val="Arial"/>
        <family val="2"/>
      </rPr>
      <t>2,3,4,7</t>
    </r>
  </si>
  <si>
    <r>
      <t>Do you have plans to change to HFA152a propellant or alternative lower GWP value propellant?</t>
    </r>
    <r>
      <rPr>
        <b/>
        <vertAlign val="superscript"/>
        <sz val="12"/>
        <rFont val="Arial"/>
        <family val="2"/>
      </rPr>
      <t>7</t>
    </r>
  </si>
  <si>
    <r>
      <t>When do you plan to introduce lower GWP propellants in your inhalers?</t>
    </r>
    <r>
      <rPr>
        <b/>
        <vertAlign val="superscript"/>
        <sz val="12"/>
        <rFont val="Arial"/>
        <family val="2"/>
      </rPr>
      <t>7</t>
    </r>
  </si>
  <si>
    <r>
      <t>Further information on the carbon footprint of this product</t>
    </r>
    <r>
      <rPr>
        <b/>
        <vertAlign val="superscript"/>
        <sz val="12"/>
        <rFont val="Arial"/>
        <family val="2"/>
      </rPr>
      <t>7</t>
    </r>
  </si>
  <si>
    <t xml:space="preserve">10. PrescQIPP Hot Topic. Lowering the inhaler carbon footprint. Attachment 1. Inhaler comparisons including indicative carbon footprint - October 2020.xlsx. Available at:https://www.prescqipp.info/our-resources/webkits/hot-topics/ </t>
  </si>
  <si>
    <t>UK distributor Chiesi Ltd, on behalf of Pharmaxis (Marketing Authorisation Holder)</t>
  </si>
  <si>
    <t>Pharmaxis Europe Limited</t>
  </si>
  <si>
    <t>Galen Limited</t>
  </si>
  <si>
    <r>
      <t>UK distributor Chiesi Ltd, on behalf of Pharmaxis (Marketing Authorisation Holder)</t>
    </r>
    <r>
      <rPr>
        <vertAlign val="superscript"/>
        <sz val="12"/>
        <rFont val="Arial"/>
        <family val="2"/>
      </rPr>
      <t>11</t>
    </r>
  </si>
  <si>
    <r>
      <t>43.4-55.5 (48.6 in life-cycle analysis)</t>
    </r>
    <r>
      <rPr>
        <vertAlign val="superscript"/>
        <sz val="12"/>
        <rFont val="Arial"/>
        <family val="2"/>
      </rPr>
      <t>8</t>
    </r>
  </si>
  <si>
    <t>11. Bronchitol® (inhaled mannitol) www.bronchitol.info/country/united-kingdom/. Accessed 18/03/2021</t>
  </si>
  <si>
    <r>
      <t>Device is now reusable, optimum 6:1 (6 cartridges to 1 inhaler device) ratio impacts CO</t>
    </r>
    <r>
      <rPr>
        <vertAlign val="subscript"/>
        <sz val="12"/>
        <rFont val="Arial"/>
        <family val="2"/>
      </rPr>
      <t>2</t>
    </r>
    <r>
      <rPr>
        <sz val="12"/>
        <rFont val="Arial"/>
        <family val="2"/>
      </rPr>
      <t xml:space="preserve"> and single plastic use. </t>
    </r>
  </si>
  <si>
    <r>
      <t>In line with Scope 3 emissions calculations method for use of sold porducts by PSCI. The method is: [Propellant used by weight in one product (R134a) in kg X global warming potential for R134 per kg (1300) / number of metered dose or actuations per product ] x 1000 = gram CO</t>
    </r>
    <r>
      <rPr>
        <vertAlign val="subscript"/>
        <sz val="12"/>
        <rFont val="Arial"/>
        <family val="2"/>
      </rPr>
      <t>2</t>
    </r>
    <r>
      <rPr>
        <sz val="12"/>
        <rFont val="Arial"/>
        <family val="2"/>
      </rPr>
      <t xml:space="preserve">e </t>
    </r>
  </si>
  <si>
    <r>
      <t>Energy: 0.0017 gCO2e/ inhaler  (only scope 1 + 2 sources) Water: 1.49 gCO</t>
    </r>
    <r>
      <rPr>
        <vertAlign val="subscript"/>
        <sz val="12"/>
        <rFont val="Arial"/>
        <family val="2"/>
      </rPr>
      <t>2</t>
    </r>
    <r>
      <rPr>
        <sz val="12"/>
        <rFont val="Arial"/>
        <family val="2"/>
      </rPr>
      <t>e/ inhaler (as per PSCI emission calculations)</t>
    </r>
  </si>
  <si>
    <r>
      <t>93.06 gCO</t>
    </r>
    <r>
      <rPr>
        <vertAlign val="subscript"/>
        <sz val="12"/>
        <rFont val="Arial"/>
        <family val="2"/>
      </rPr>
      <t>2</t>
    </r>
    <r>
      <rPr>
        <sz val="12"/>
        <rFont val="Arial"/>
        <family val="2"/>
      </rPr>
      <t>e/inhaler. The company calculates waste at an enterprise level. Product level attribution is based on weight of the product manufactured.</t>
    </r>
  </si>
  <si>
    <r>
      <t>46.43 gCO</t>
    </r>
    <r>
      <rPr>
        <vertAlign val="subscript"/>
        <sz val="12"/>
        <rFont val="Arial"/>
        <family val="2"/>
      </rPr>
      <t>2</t>
    </r>
    <r>
      <rPr>
        <sz val="12"/>
        <rFont val="Arial"/>
        <family val="2"/>
      </rPr>
      <t xml:space="preserve">e/ inhaler  The company calculates HF leaks and air emissions at an enterprise level. Product level attribution is based on weight of the product manufactured. </t>
    </r>
  </si>
  <si>
    <r>
      <t>93.06 gCO</t>
    </r>
    <r>
      <rPr>
        <vertAlign val="subscript"/>
        <sz val="12"/>
        <rFont val="Arial"/>
        <family val="2"/>
      </rPr>
      <t>2</t>
    </r>
    <r>
      <rPr>
        <sz val="12"/>
        <rFont val="Arial"/>
        <family val="2"/>
      </rPr>
      <t>e/inhaler The company calculates waste at an enterprise level. Product level attribution is based on weight of the product manufactured.</t>
    </r>
  </si>
  <si>
    <r>
      <t>17,368 grams CO</t>
    </r>
    <r>
      <rPr>
        <vertAlign val="subscript"/>
        <sz val="12"/>
        <rFont val="Arial"/>
        <family val="2"/>
      </rPr>
      <t xml:space="preserve">2 </t>
    </r>
  </si>
  <si>
    <r>
      <t>14.71  gCO</t>
    </r>
    <r>
      <rPr>
        <vertAlign val="subscript"/>
        <sz val="12"/>
        <rFont val="Arial"/>
        <family val="2"/>
      </rPr>
      <t>2</t>
    </r>
    <r>
      <rPr>
        <sz val="12"/>
        <rFont val="Arial"/>
        <family val="2"/>
      </rPr>
      <t>e/inhaler The company calculates waste at an enterprise level. Product level attribution is based on weight of the product manufactured.</t>
    </r>
  </si>
  <si>
    <r>
      <t>40 gCO</t>
    </r>
    <r>
      <rPr>
        <vertAlign val="subscript"/>
        <sz val="12"/>
        <rFont val="Arial"/>
        <family val="2"/>
      </rPr>
      <t>2</t>
    </r>
    <r>
      <rPr>
        <sz val="12"/>
        <rFont val="Arial"/>
        <family val="2"/>
      </rPr>
      <t>e/inhaler The company calculates HF leaks and air emissions at an enterprise level. Product level attribution is based on weight of the product manufactured.</t>
    </r>
  </si>
  <si>
    <r>
      <t>16237 gCO</t>
    </r>
    <r>
      <rPr>
        <vertAlign val="subscript"/>
        <sz val="12"/>
        <rFont val="Arial"/>
        <family val="2"/>
      </rPr>
      <t>2</t>
    </r>
    <r>
      <rPr>
        <sz val="12"/>
        <rFont val="Arial"/>
        <family val="2"/>
      </rPr>
      <t>e (120  actuations)</t>
    </r>
  </si>
  <si>
    <t>Each delivered dose (the dose that leaves the mouthpiece) contains 160 micrograms of budesonide and 4.5 micrograms of formoterol fumarate dihydrate.This is equivalent to a metered dose of 200 micrograms budesonide and 6 micrograms of formoterol fumarate dihydrate.</t>
  </si>
  <si>
    <t>Each delivered dose (the dose that leaves the mouthpiece) contains 320 micrograms of budesonide and 9 micrograms of formoterol fumarate dihydrate. This is equivalent to a metered dose of 400 micrograms budesonide and 12 micrograms of formoterol fumarate dihydrate.</t>
  </si>
  <si>
    <r>
      <t>Indicative carbon footprint /puff (g CO</t>
    </r>
    <r>
      <rPr>
        <b/>
        <vertAlign val="subscript"/>
        <sz val="12"/>
        <rFont val="Arial"/>
        <family val="2"/>
      </rPr>
      <t>2</t>
    </r>
    <r>
      <rPr>
        <b/>
        <sz val="12"/>
        <rFont val="Arial"/>
        <family val="2"/>
      </rPr>
      <t>e) 
Midpoint value</t>
    </r>
    <r>
      <rPr>
        <b/>
        <vertAlign val="superscript"/>
        <sz val="12"/>
        <rFont val="Arial"/>
        <family val="2"/>
      </rPr>
      <t>7,8</t>
    </r>
  </si>
  <si>
    <r>
      <t>Indicative carbon footprint /inhaler (g CO</t>
    </r>
    <r>
      <rPr>
        <b/>
        <vertAlign val="subscript"/>
        <sz val="12"/>
        <rFont val="Arial"/>
        <family val="2"/>
      </rPr>
      <t>2</t>
    </r>
    <r>
      <rPr>
        <b/>
        <sz val="12"/>
        <rFont val="Arial"/>
        <family val="2"/>
      </rPr>
      <t>e) 
Midpoint value</t>
    </r>
    <r>
      <rPr>
        <b/>
        <vertAlign val="superscript"/>
        <sz val="12"/>
        <rFont val="Arial"/>
        <family val="2"/>
      </rPr>
      <t>7,8</t>
    </r>
  </si>
  <si>
    <r>
      <t>Indicative carbon footprint per 28 days (g CO</t>
    </r>
    <r>
      <rPr>
        <b/>
        <vertAlign val="subscript"/>
        <sz val="12"/>
        <rFont val="Arial"/>
        <family val="2"/>
      </rPr>
      <t>2</t>
    </r>
    <r>
      <rPr>
        <b/>
        <sz val="12"/>
        <rFont val="Arial"/>
        <family val="2"/>
      </rPr>
      <t>e)</t>
    </r>
  </si>
  <si>
    <r>
      <t>Indicative carbon footprint per annum (g CO</t>
    </r>
    <r>
      <rPr>
        <b/>
        <vertAlign val="subscript"/>
        <sz val="12"/>
        <rFont val="Arial"/>
        <family val="2"/>
      </rPr>
      <t>2</t>
    </r>
    <r>
      <rPr>
        <b/>
        <sz val="12"/>
        <rFont val="Arial"/>
        <family val="2"/>
      </rPr>
      <t>e)</t>
    </r>
  </si>
  <si>
    <r>
      <t>Please state how the carbon footprint per actuation (g CO</t>
    </r>
    <r>
      <rPr>
        <b/>
        <vertAlign val="subscript"/>
        <sz val="12"/>
        <rFont val="Arial"/>
        <family val="2"/>
      </rPr>
      <t>2</t>
    </r>
    <r>
      <rPr>
        <b/>
        <sz val="12"/>
        <rFont val="Arial"/>
        <family val="2"/>
      </rPr>
      <t>e) was calculated where this information is available</t>
    </r>
    <r>
      <rPr>
        <b/>
        <vertAlign val="superscript"/>
        <sz val="12"/>
        <rFont val="Arial"/>
        <family val="2"/>
      </rPr>
      <t>7</t>
    </r>
  </si>
  <si>
    <r>
      <t>Inhaler carbon footprint attributed to raw materials API and excipients manufacturing per inhaler (including the propellant) (g CO</t>
    </r>
    <r>
      <rPr>
        <b/>
        <vertAlign val="subscript"/>
        <sz val="12"/>
        <rFont val="Arial"/>
        <family val="2"/>
      </rPr>
      <t>2</t>
    </r>
    <r>
      <rPr>
        <b/>
        <sz val="12"/>
        <rFont val="Arial"/>
        <family val="2"/>
      </rPr>
      <t>e)</t>
    </r>
    <r>
      <rPr>
        <b/>
        <vertAlign val="superscript"/>
        <sz val="12"/>
        <rFont val="Arial"/>
        <family val="2"/>
      </rPr>
      <t>7</t>
    </r>
    <r>
      <rPr>
        <b/>
        <sz val="12"/>
        <rFont val="Arial"/>
        <family val="2"/>
      </rPr>
      <t xml:space="preserve"> </t>
    </r>
  </si>
  <si>
    <r>
      <t>Inhaler carbon footprint attributed to raw materials inhaler device components per inhaler (g CO</t>
    </r>
    <r>
      <rPr>
        <b/>
        <vertAlign val="subscript"/>
        <sz val="12"/>
        <rFont val="Arial"/>
        <family val="2"/>
      </rPr>
      <t>2</t>
    </r>
    <r>
      <rPr>
        <b/>
        <sz val="12"/>
        <rFont val="Arial"/>
        <family val="2"/>
      </rPr>
      <t>e)</t>
    </r>
    <r>
      <rPr>
        <b/>
        <vertAlign val="superscript"/>
        <sz val="12"/>
        <rFont val="Arial"/>
        <family val="2"/>
      </rPr>
      <t>7</t>
    </r>
    <r>
      <rPr>
        <b/>
        <sz val="12"/>
        <rFont val="Arial"/>
        <family val="2"/>
      </rPr>
      <t xml:space="preserve"> </t>
    </r>
  </si>
  <si>
    <r>
      <t>Inhaler carbon footprint attributed to raw materials for packaging per inhaler (g CO</t>
    </r>
    <r>
      <rPr>
        <b/>
        <vertAlign val="subscript"/>
        <sz val="12"/>
        <rFont val="Arial"/>
        <family val="2"/>
      </rPr>
      <t>2</t>
    </r>
    <r>
      <rPr>
        <b/>
        <sz val="12"/>
        <rFont val="Arial"/>
        <family val="2"/>
      </rPr>
      <t>e)</t>
    </r>
    <r>
      <rPr>
        <b/>
        <vertAlign val="superscript"/>
        <sz val="12"/>
        <rFont val="Arial"/>
        <family val="2"/>
      </rPr>
      <t>7</t>
    </r>
  </si>
  <si>
    <r>
      <t>Inhaler carbon footprint attributed to raw materials transportation per inhaler (g CO</t>
    </r>
    <r>
      <rPr>
        <b/>
        <vertAlign val="subscript"/>
        <sz val="12"/>
        <rFont val="Arial"/>
        <family val="2"/>
      </rPr>
      <t>2</t>
    </r>
    <r>
      <rPr>
        <b/>
        <sz val="12"/>
        <rFont val="Arial"/>
        <family val="2"/>
      </rPr>
      <t>e)</t>
    </r>
    <r>
      <rPr>
        <b/>
        <vertAlign val="superscript"/>
        <sz val="12"/>
        <rFont val="Arial"/>
        <family val="2"/>
      </rPr>
      <t>7</t>
    </r>
  </si>
  <si>
    <r>
      <t>Carbon footprint attributed to energy and water consumption per inhaler (g CO</t>
    </r>
    <r>
      <rPr>
        <b/>
        <vertAlign val="subscript"/>
        <sz val="12"/>
        <rFont val="Arial"/>
        <family val="2"/>
      </rPr>
      <t>2</t>
    </r>
    <r>
      <rPr>
        <b/>
        <sz val="12"/>
        <rFont val="Arial"/>
        <family val="2"/>
      </rPr>
      <t>e)</t>
    </r>
    <r>
      <rPr>
        <b/>
        <vertAlign val="superscript"/>
        <sz val="12"/>
        <rFont val="Arial"/>
        <family val="2"/>
      </rPr>
      <t>7</t>
    </r>
  </si>
  <si>
    <r>
      <t>Carbon footprint attributed to manufacturing waste per inhaler (g CO</t>
    </r>
    <r>
      <rPr>
        <b/>
        <vertAlign val="subscript"/>
        <sz val="12"/>
        <rFont val="Arial"/>
        <family val="2"/>
      </rPr>
      <t>2</t>
    </r>
    <r>
      <rPr>
        <b/>
        <sz val="12"/>
        <rFont val="Arial"/>
        <family val="2"/>
      </rPr>
      <t>e)</t>
    </r>
    <r>
      <rPr>
        <b/>
        <vertAlign val="superscript"/>
        <sz val="12"/>
        <rFont val="Arial"/>
        <family val="2"/>
      </rPr>
      <t>7</t>
    </r>
  </si>
  <si>
    <r>
      <t>Carbon footprint attributed to HF leaks and air emissions per inhaler (g CO</t>
    </r>
    <r>
      <rPr>
        <b/>
        <vertAlign val="subscript"/>
        <sz val="12"/>
        <rFont val="Arial"/>
        <family val="2"/>
      </rPr>
      <t>2</t>
    </r>
    <r>
      <rPr>
        <b/>
        <sz val="12"/>
        <rFont val="Arial"/>
        <family val="2"/>
      </rPr>
      <t>e)</t>
    </r>
    <r>
      <rPr>
        <b/>
        <vertAlign val="superscript"/>
        <sz val="12"/>
        <rFont val="Arial"/>
        <family val="2"/>
      </rPr>
      <t>7</t>
    </r>
  </si>
  <si>
    <r>
      <t>Carbon footprint attributed to distribution and transportation per inhaler (g CO</t>
    </r>
    <r>
      <rPr>
        <b/>
        <vertAlign val="subscript"/>
        <sz val="12"/>
        <rFont val="Arial"/>
        <family val="2"/>
      </rPr>
      <t>2</t>
    </r>
    <r>
      <rPr>
        <b/>
        <sz val="12"/>
        <rFont val="Arial"/>
        <family val="2"/>
      </rPr>
      <t>e)</t>
    </r>
    <r>
      <rPr>
        <b/>
        <vertAlign val="superscript"/>
        <sz val="12"/>
        <rFont val="Arial"/>
        <family val="2"/>
      </rPr>
      <t>7</t>
    </r>
  </si>
  <si>
    <r>
      <t>Carbon footprint attributed to user phase  per inhaler (g CO</t>
    </r>
    <r>
      <rPr>
        <b/>
        <vertAlign val="subscript"/>
        <sz val="12"/>
        <rFont val="Arial"/>
        <family val="2"/>
      </rPr>
      <t>2</t>
    </r>
    <r>
      <rPr>
        <b/>
        <sz val="12"/>
        <rFont val="Arial"/>
        <family val="2"/>
      </rPr>
      <t>e)</t>
    </r>
    <r>
      <rPr>
        <b/>
        <vertAlign val="superscript"/>
        <sz val="12"/>
        <rFont val="Arial"/>
        <family val="2"/>
      </rPr>
      <t>7</t>
    </r>
  </si>
  <si>
    <r>
      <t>Carbon footprint attributed to end of life per inhaler (g CO</t>
    </r>
    <r>
      <rPr>
        <b/>
        <vertAlign val="subscript"/>
        <sz val="12"/>
        <rFont val="Arial"/>
        <family val="2"/>
      </rPr>
      <t>2</t>
    </r>
    <r>
      <rPr>
        <b/>
        <sz val="12"/>
        <rFont val="Arial"/>
        <family val="2"/>
      </rPr>
      <t>e)</t>
    </r>
    <r>
      <rPr>
        <b/>
        <vertAlign val="superscript"/>
        <sz val="12"/>
        <rFont val="Arial"/>
        <family val="2"/>
      </rPr>
      <t>7</t>
    </r>
  </si>
  <si>
    <r>
      <t>Carbon footprint attributed to other carbon emission data held per inhaler (g CO</t>
    </r>
    <r>
      <rPr>
        <b/>
        <vertAlign val="subscript"/>
        <sz val="12"/>
        <rFont val="Arial"/>
        <family val="2"/>
      </rPr>
      <t>2</t>
    </r>
    <r>
      <rPr>
        <b/>
        <sz val="12"/>
        <rFont val="Arial"/>
        <family val="2"/>
      </rPr>
      <t>e)</t>
    </r>
    <r>
      <rPr>
        <b/>
        <vertAlign val="superscript"/>
        <sz val="12"/>
        <rFont val="Arial"/>
        <family val="2"/>
      </rPr>
      <t>7</t>
    </r>
  </si>
  <si>
    <r>
      <t>For comparison, PrescQIPP Hot Topics Resource prior estimates for the indicative carbon footprint /puff (g CO</t>
    </r>
    <r>
      <rPr>
        <b/>
        <vertAlign val="subscript"/>
        <sz val="12"/>
        <rFont val="Arial"/>
        <family val="2"/>
      </rPr>
      <t>2</t>
    </r>
    <r>
      <rPr>
        <b/>
        <sz val="12"/>
        <rFont val="Arial"/>
        <family val="2"/>
      </rPr>
      <t>e) 
Midpoint value</t>
    </r>
    <r>
      <rPr>
        <b/>
        <vertAlign val="superscript"/>
        <sz val="12"/>
        <rFont val="Arial"/>
        <family val="2"/>
      </rPr>
      <t>8,10</t>
    </r>
  </si>
  <si>
    <r>
      <t>Low (&lt;35 g CO</t>
    </r>
    <r>
      <rPr>
        <b/>
        <vertAlign val="subscript"/>
        <sz val="12"/>
        <rFont val="Arial"/>
        <family val="2"/>
      </rPr>
      <t>2</t>
    </r>
    <r>
      <rPr>
        <b/>
        <sz val="12"/>
        <rFont val="Arial"/>
        <family val="2"/>
      </rPr>
      <t>e) or High (&gt;35 g CO</t>
    </r>
    <r>
      <rPr>
        <b/>
        <vertAlign val="subscript"/>
        <sz val="12"/>
        <rFont val="Arial"/>
        <family val="2"/>
      </rPr>
      <t>2</t>
    </r>
    <r>
      <rPr>
        <b/>
        <sz val="12"/>
        <rFont val="Arial"/>
        <family val="2"/>
      </rPr>
      <t>e) carbon footprint per puff</t>
    </r>
  </si>
  <si>
    <r>
      <t>Carbon footprint attributed to manufacturing waste per inhaler   (g CO</t>
    </r>
    <r>
      <rPr>
        <b/>
        <vertAlign val="subscript"/>
        <sz val="12"/>
        <rFont val="Arial"/>
        <family val="2"/>
      </rPr>
      <t>2</t>
    </r>
    <r>
      <rPr>
        <b/>
        <sz val="12"/>
        <rFont val="Arial"/>
        <family val="2"/>
      </rPr>
      <t>e)</t>
    </r>
    <r>
      <rPr>
        <b/>
        <vertAlign val="superscript"/>
        <sz val="12"/>
        <rFont val="Arial"/>
        <family val="2"/>
      </rPr>
      <t>7</t>
    </r>
  </si>
  <si>
    <r>
      <t>For comparison, PrescQIPP Hot Topics Resource prior estimates for the indicative carbon footprint /puff (g CO</t>
    </r>
    <r>
      <rPr>
        <b/>
        <vertAlign val="subscript"/>
        <sz val="12"/>
        <rFont val="Arial"/>
        <family val="2"/>
      </rPr>
      <t>2</t>
    </r>
    <r>
      <rPr>
        <b/>
        <sz val="12"/>
        <rFont val="Arial"/>
        <family val="2"/>
      </rPr>
      <t>e) 
Midpoint value</t>
    </r>
    <r>
      <rPr>
        <b/>
        <vertAlign val="superscript"/>
        <sz val="12"/>
        <rFont val="Arial"/>
        <family val="2"/>
      </rPr>
      <t>10</t>
    </r>
  </si>
  <si>
    <r>
      <t>Low (&lt;35 g CO</t>
    </r>
    <r>
      <rPr>
        <b/>
        <vertAlign val="subscript"/>
        <sz val="12"/>
        <rFont val="Arial"/>
        <family val="2"/>
      </rPr>
      <t>2</t>
    </r>
    <r>
      <rPr>
        <b/>
        <sz val="12"/>
        <rFont val="Arial"/>
        <family val="2"/>
      </rPr>
      <t>e) or High (</t>
    </r>
    <r>
      <rPr>
        <b/>
        <sz val="12"/>
        <rFont val="Calibri"/>
        <family val="2"/>
      </rPr>
      <t>≥</t>
    </r>
    <r>
      <rPr>
        <b/>
        <sz val="12"/>
        <rFont val="Arial"/>
        <family val="2"/>
      </rPr>
      <t>35 g CO</t>
    </r>
    <r>
      <rPr>
        <b/>
        <vertAlign val="subscript"/>
        <sz val="12"/>
        <rFont val="Arial"/>
        <family val="2"/>
      </rPr>
      <t>2</t>
    </r>
    <r>
      <rPr>
        <b/>
        <sz val="12"/>
        <rFont val="Arial"/>
        <family val="2"/>
      </rPr>
      <t>e) carbon footprint per puff</t>
    </r>
  </si>
  <si>
    <t>Link</t>
  </si>
  <si>
    <t>https://about.medicinescomplete.com/</t>
  </si>
  <si>
    <t>https://www.medicines.org.uk/emc/</t>
  </si>
  <si>
    <t>https://www.ema.europa.eu/en/glossary/european-public-assessment-report</t>
  </si>
  <si>
    <t>https://products.mhra.gov.uk/</t>
  </si>
  <si>
    <t>www.cddata.co.uk</t>
  </si>
  <si>
    <t xml:space="preserve">https://services.nhsbsa.nhs.uk/dmd-browser/ </t>
  </si>
  <si>
    <t>https://bmjopen.bmj.com/content/9/10/e028763</t>
  </si>
  <si>
    <t>https://www.nhsbsa.nhs.uk/prescription-data/understanding-our-data/bnf-snomed-mapping</t>
  </si>
  <si>
    <t xml:space="preserve">https://www.prescqipp.info/our-resources/webkits/hot-topics/ </t>
  </si>
  <si>
    <t>https://www.bronchitol.info/country/united-kingdom/</t>
  </si>
  <si>
    <t>Estimated representative values for the various strengths of Soprobec re-based on a revised GWP value of 1430 for HFA-134a. We have re-based this calculation on the highest value from an Intergovernmental Panel on Climate Change report (https://www.ghgprotocol.org/sites/default/files/ghgp/Global-Warming-Potential-Values%20%28Feb%2016%202016%29_1.pdf).</t>
  </si>
  <si>
    <t>tiotropium 18 micrograms inhalation powder, hard capsules</t>
  </si>
  <si>
    <t>Tiogiva dry powder inhaler and capsules 18 micrograms</t>
  </si>
  <si>
    <t>Trimbow NEXThaler (DPI) 88 micrograms/ 5 micrograms/ 9 micrograms per actuation inhalation powder</t>
  </si>
  <si>
    <t>beclometasone 88 micrograms/ formoterol 5 micrograms/ glycopyrronium 9 micrograms/puff</t>
  </si>
  <si>
    <t>5 (distribution)</t>
  </si>
  <si>
    <t>Spiriva 18 micrograms inhalation powder plus HandiHaler device</t>
  </si>
  <si>
    <t>salbutamol 100 micrograms/puff cartridge</t>
  </si>
  <si>
    <t>SPC specifies the concomitant asthma treatment the person should be on with Spiriva Respimat, which varies according to age group. Assumes using one device with refill cartridges every 6 months.</t>
  </si>
  <si>
    <t>Striverdi Respimat 2.5 micrograms, solution for inhalation refill cartridge</t>
  </si>
  <si>
    <r>
      <t>Carbon footprint data estimated from Spriva Respimat</t>
    </r>
    <r>
      <rPr>
        <sz val="12"/>
        <rFont val="Calibri"/>
        <family val="2"/>
      </rPr>
      <t>®</t>
    </r>
    <r>
      <rPr>
        <sz val="12"/>
        <rFont val="Arial"/>
        <family val="2"/>
      </rPr>
      <t xml:space="preserve"> values from manufacturer</t>
    </r>
  </si>
  <si>
    <t>13</t>
  </si>
  <si>
    <t xml:space="preserve">12147011000001104 </t>
  </si>
  <si>
    <t>37677811000001105</t>
  </si>
  <si>
    <t>24608111000001102</t>
  </si>
  <si>
    <t>37678411000001107</t>
  </si>
  <si>
    <r>
      <t>In line with Scope 3 emissions calculations method for use of sold products by PSCI. The method is: [Propellant used by weight in one product (R134a) in kg X global warming potential for R134 per kg (1300) / number of metered dose or actuations per product ] x 1000 = gram CO</t>
    </r>
    <r>
      <rPr>
        <vertAlign val="subscript"/>
        <sz val="12"/>
        <rFont val="Arial"/>
        <family val="2"/>
      </rPr>
      <t>2</t>
    </r>
    <r>
      <rPr>
        <sz val="12"/>
        <rFont val="Arial"/>
        <family val="2"/>
      </rPr>
      <t xml:space="preserve">e </t>
    </r>
  </si>
  <si>
    <t xml:space="preserve">Manufacturers have no data for this inhaler but say that there will be little variation in carbon footprint figures of other strengths to those assessed and so would define their carbon footprints as ‘similar’ to those measured. </t>
  </si>
  <si>
    <t>Assumed same carbon footprint as brand originator.</t>
  </si>
  <si>
    <t>Calculation and certification of the carbon footprint of the product has been performed considering the whole product lifecycle. Chiesi data on file.</t>
  </si>
  <si>
    <t>Spiolto Respimat 2.5 micrograms/2.5 micrograms, inhalation solution plus Respimat device</t>
  </si>
  <si>
    <t>Assumes using one device with refill cartridges every 6 months.</t>
  </si>
  <si>
    <t>37678111000001102</t>
  </si>
  <si>
    <t>Yanimo Respimat 2.5micrograms/2.5micrograms, inhalation solution plus Respimat device</t>
  </si>
  <si>
    <t>Spiolto Respimat 2.5 micrograms/2.5 micrograms, inhalation solution refill cartridge</t>
  </si>
  <si>
    <t>Spiriva Respimat 2.5 micrograms, inhalation solution refill cartridge</t>
  </si>
  <si>
    <t>Spiriva Respimat 2.5 micrograms, inhalation solution plus Respimat device</t>
  </si>
  <si>
    <t>Striverdi Respimat 2.5 micrograms, solution for inhalation cartridge plus Respimat device</t>
  </si>
  <si>
    <t>Asthma 12+; COPD 18+</t>
  </si>
  <si>
    <t>Changes from v2.8</t>
  </si>
  <si>
    <t>Ipravent deleted as it has been discontinued</t>
  </si>
  <si>
    <t>WockAIR 160 micrograms/4.5 micrograms/dose dry powder inhaler</t>
  </si>
  <si>
    <t>WockAIR 320 micrograms/9 micrograms/dose dry powder inhaler</t>
  </si>
  <si>
    <t>Budesonide 160 micrograms per  dose, formoterol fumarate dihydrate 4.5 micrograms per 1 dose</t>
  </si>
  <si>
    <t>Budesonide 320 micrograms per 1 dose, formoterol fumarate dihydrate 9 micrograms per 1 dose</t>
  </si>
  <si>
    <t>Wockhardt UK Ltd</t>
  </si>
  <si>
    <t>40106111000001101</t>
  </si>
  <si>
    <t>40106311000001104</t>
  </si>
  <si>
    <t>Manufacturer states, 'An average DPI carbon footprint value has been calculated using data for all DPI full life cycles available. This is applied for all DPIs where an independently verified manufacturer carbon footprint was not provided. The source is the Regional Drug and Therapeutics Centre (hosted by Newcastle-upon-Tyne Hospitals NHS Foundation Trust).'</t>
  </si>
  <si>
    <t>Manufacturer states that Wockair is supplied in the same device as the Airflusal Forspiro and that WockAIR would present the same values as this inhaler.</t>
  </si>
  <si>
    <t>Used Airflusal Forspiro manufacturers survey data</t>
  </si>
  <si>
    <t>Manufacturers survey data</t>
  </si>
  <si>
    <t>Changes from v2.2</t>
  </si>
  <si>
    <t>Fusacomb Easyhaler 50/250 - manufacturer clarified licensed for asthma only. Removed 'and COPD' from column D.</t>
  </si>
  <si>
    <t>Tiogiva capsules and device and capsule price reductions - £19.20 Tiogiva 30 capsules; £19.99 Tiogiva 30 capsules with device packs. Prices amended in v2.3</t>
  </si>
  <si>
    <t>Changes from v2.3</t>
  </si>
  <si>
    <t>Soprobec inhalers all strengths - manufacturer submitted carbon footprint data per actuation, so this new data added to v2.3.</t>
  </si>
  <si>
    <t>New inhaler Trimbow NEXThaler added to v2.4</t>
  </si>
  <si>
    <t>Separate lines added for Spriva capsules and Spiriva HandiHaler plus capsules</t>
  </si>
  <si>
    <t>Line AA71 corrected to 'small volume'</t>
  </si>
  <si>
    <t>Spiriva Respimat refill added to the spreadsheet.</t>
  </si>
  <si>
    <t>Easyhaler Budesonide 400mcg carbon footprint value changed to be the same as Easyhaler Budesonide 200microgram 200 dose inhaler as previous assumption incorrect.</t>
  </si>
  <si>
    <t>Yanimo Respimat carbon footprint value corrected (manufacturers error completing the spreadsheet).</t>
  </si>
  <si>
    <t>Respimat carbon footprint values corrected for Striverdi and Spiriva (manufacturers error completing spreadsheet).</t>
  </si>
  <si>
    <t>#REF for 3 inhalers in column N corrected.</t>
  </si>
  <si>
    <t>Stalpex price per inhaler changed to £16.37</t>
  </si>
  <si>
    <t>Trixeo carbon footprint value corrected</t>
  </si>
  <si>
    <t>Changes from 2.7</t>
  </si>
  <si>
    <t>Changes from 2.6</t>
  </si>
  <si>
    <t>Changes log added</t>
  </si>
  <si>
    <t>Airflusal forspiro propellant error removed</t>
  </si>
  <si>
    <t>Non-published changes made and document circulated to PrescQIPP team - changes discussed not made and so v2.5 not published.</t>
  </si>
  <si>
    <t>Changes from 2.4 / 2.5</t>
  </si>
  <si>
    <t>Trixeo carbon footprint value changed (in error, see below)</t>
  </si>
  <si>
    <t>Changes from v2.9</t>
  </si>
  <si>
    <t>Propellant only</t>
  </si>
  <si>
    <t>Carbon footprint attributed to propellant only or product lifecycle</t>
  </si>
  <si>
    <t>Product lifecycle</t>
  </si>
  <si>
    <t>Not stated</t>
  </si>
  <si>
    <t>Covis Pharma</t>
  </si>
  <si>
    <t>Alvesco manufacturer changed to Covis Pharma</t>
  </si>
  <si>
    <t>Declined to complete survey</t>
  </si>
  <si>
    <t>No response</t>
  </si>
  <si>
    <t>Propellant or product lifecycle column added and data entered from manufacturers survey</t>
  </si>
  <si>
    <t>Changes from 2.10</t>
  </si>
  <si>
    <t>Luforbec 100/6 pMDI carbon footprint estimation information from manufacturer added</t>
  </si>
  <si>
    <t>Fixkoh Airmaster 50/500 price change £16.12.</t>
  </si>
  <si>
    <t>Wockair carbon footprint values entered the same as Airflusal Forspiro in line with manufacturers information.</t>
  </si>
  <si>
    <t>Changes from 2.10.1</t>
  </si>
  <si>
    <t>References dates last accessed updated.</t>
  </si>
  <si>
    <t>Corrected Budelin Novolizer 200 micrograms snomed code</t>
  </si>
  <si>
    <t>8031911000001107</t>
  </si>
  <si>
    <t>New inhaler Seffalair Spiromax launched. Manufacturer states that no carbon footprint information is currently available. 31/1/22.</t>
  </si>
  <si>
    <t>Luforbec 100/6 micrograms per actuation pressurised inhalation solution</t>
  </si>
  <si>
    <t>24644711000001104</t>
  </si>
  <si>
    <t>13533811000001101</t>
  </si>
  <si>
    <t>39993411000001103</t>
  </si>
  <si>
    <t>3185011000001108</t>
  </si>
  <si>
    <t>3184411000001100</t>
  </si>
  <si>
    <t>2830011000001108</t>
  </si>
  <si>
    <t>3378811000001107</t>
  </si>
  <si>
    <t>36506911000001101</t>
  </si>
  <si>
    <t>7390011000001102</t>
  </si>
  <si>
    <t>13777111000001101</t>
  </si>
  <si>
    <t>Discontinued January 2022.</t>
  </si>
  <si>
    <t>Line 72 Added in 'Discontinued in January 2022' to comments box - Intal CFC-free inhaler.</t>
  </si>
  <si>
    <t>BRAND_NAME</t>
  </si>
  <si>
    <t>2831011000001108</t>
  </si>
  <si>
    <t>Atrovent 20 micrograms      </t>
  </si>
  <si>
    <t>Amended SNOMED codes as below:</t>
  </si>
  <si>
    <t>Spelling error corrected Luforbec micrograms instead of 'microgramss'</t>
  </si>
  <si>
    <t>Adjusted number of puffs per 28 days based on feedback for:</t>
  </si>
  <si>
    <t>Soprobec 100 micrograms from 56 to 112</t>
  </si>
  <si>
    <t>Clenil Modulite 50 micrograms from 224 to 112</t>
  </si>
  <si>
    <t>Kelhale 50 micrograms from 112 to 56</t>
  </si>
  <si>
    <t>Soprobec 50 micrograms from 224 to 112</t>
  </si>
  <si>
    <t>Airomir 100 micrograms from 30 to 28</t>
  </si>
  <si>
    <t>Airomir Autohaler 100 micrograms from 30 to 28</t>
  </si>
  <si>
    <t>Easyhaler Salbutamol 100 micrograms from 30 to 28</t>
  </si>
  <si>
    <t>Salamol CFC-Free Inhaler  100 micrograms 30 to 28</t>
  </si>
  <si>
    <t>Salamol Easi-Breathe 100 micrograms 30 to 28</t>
  </si>
  <si>
    <t>Ventolin Evohaler 100 micrograms 30 to 28</t>
  </si>
  <si>
    <t>Salbulin Novolizer 100 micrograms (cartridge + inhaler) 30 to 28</t>
  </si>
  <si>
    <t>Salbulin Novolizer 100 micrograms (cartridge only) 30 to 28</t>
  </si>
  <si>
    <t>Easyhaler Salbutamol 200 micrograms 30 to 28</t>
  </si>
  <si>
    <t>Ventolin Accuhaler 200 micrograms 18 to 28</t>
  </si>
  <si>
    <t>Bricanyl Turbohaler 500 micrograms 18 to 28</t>
  </si>
  <si>
    <t>Easyhaler Budesonide 100 micrograms 112 to 56</t>
  </si>
  <si>
    <t>Amended SNOMED CODE to</t>
  </si>
  <si>
    <t>Device type changed to pMDI (breath actuated) for Airomir autohaler and Salamol Easi-breathe</t>
  </si>
  <si>
    <t>39607311000001104</t>
  </si>
  <si>
    <t>Changes from 2.11</t>
  </si>
  <si>
    <t>Changes from 2.12</t>
  </si>
  <si>
    <t>Tiogiva 18micrograms 30 capsules snomed code changed to 39607311000001104</t>
  </si>
  <si>
    <t>Seffalair spiromax 12.75microgram/202microgram DPI snomed code changed to '40445011000001101</t>
  </si>
  <si>
    <t>Seffalair spiromax 12.75microgram/100microgram DPI snomed code changed to '40445211000001106</t>
  </si>
  <si>
    <r>
      <t>Product AMPP SNOMED code</t>
    </r>
    <r>
      <rPr>
        <b/>
        <vertAlign val="superscript"/>
        <sz val="12"/>
        <rFont val="Arial"/>
        <family val="2"/>
      </rPr>
      <t>9</t>
    </r>
  </si>
  <si>
    <t>Column X header 'Snowmed' spelling error corrected.</t>
  </si>
  <si>
    <t>Certified as Carbon Neutral by the Carbon Trust CERT-13203 
Cradle to grave calculation performed and certified by the Carbon Trust CERT_12868</t>
  </si>
  <si>
    <t>Carbon neutral status added for Trelegy Ellipta and Easyhaler Beclometasone, Easyhaler Budesonide, Easyhaler Formoterol, Easyhaler Salbutamol, Fobumix Easyhaler,  Fusacomb Easyhaler.</t>
  </si>
  <si>
    <t>Carbon neutral</t>
  </si>
  <si>
    <t>New column  S add for 'carbon neutral' status as two manufacturers have now offset their carbon footprint of their inhalers by planting forests and have received independently verified carbon neutral status certification.</t>
  </si>
  <si>
    <t>Certified as Carbon Neutral by Carbon Footprint Ltd. Certificate number: CF2021-7019</t>
  </si>
  <si>
    <t>Stalpex inhaler price reduction £16.12</t>
  </si>
  <si>
    <t>Changes from 2.13</t>
  </si>
  <si>
    <t>Avenor 25micrograms / 50micrograms</t>
  </si>
  <si>
    <t>Zentiva</t>
  </si>
  <si>
    <t>Avenor 25micrograms / 125micrograms</t>
  </si>
  <si>
    <t>Avenor 25micrograms / 250micrograms</t>
  </si>
  <si>
    <t>40034311000001107</t>
  </si>
  <si>
    <t>40040811000001109</t>
  </si>
  <si>
    <t>40041011000001107</t>
  </si>
  <si>
    <t>Avenor 25micrograms / 50micrograms, Avenor 25micrograms / 125micrograms, Avenor 25micrograms / 250micrograms added- carbon footprint estimates</t>
  </si>
  <si>
    <t>Sereflo 25/250microgram Ciphaler added - manufacturer asked for carbon footprint data awaiting this.</t>
  </si>
  <si>
    <t>Changes from 2.14</t>
  </si>
  <si>
    <t>Luforbec manufacturers carbon footprint data and carbon neutral status added.</t>
  </si>
  <si>
    <t>Carbon neutral (carbon footprint offset e.g. by planting forests and independently certified)</t>
  </si>
  <si>
    <t>Beclometasone dipropionate in Luforbec is characterised by an extrafine particle size distribution which results in a more potent effect than formulations of beclometasone dipropionate with a non-extrafine particle size distribution (100 micrograms of beclometasone dipropionate extrafine in Luforbec are equivalent to 250 micrograms of beclometasone dipropionate in a non-extrafine formulation).</t>
  </si>
  <si>
    <t>Changes from 2.15</t>
  </si>
  <si>
    <t>Combisal price change for 25/250microgram inhaler to from £27.99 to £13.99</t>
  </si>
  <si>
    <t>Combisal price change for 25/125microgram inhaler to from £17.59 to £10.48</t>
  </si>
  <si>
    <t>Flixotide accuhaler 50 microgram price reduction to £4.00</t>
  </si>
  <si>
    <t>Flixotide accuhaler 100 microgram price reduction to £4.02</t>
  </si>
  <si>
    <t>Flixotide accuhaler 250 microgram price reduction to £4.23</t>
  </si>
  <si>
    <t>Flixotide accuhaler 500 microgram price reduction to £4.73</t>
  </si>
  <si>
    <t>Ventolin accuhaler 200 microgram price reduction to £1.99</t>
  </si>
  <si>
    <t>Changes from 2.16</t>
  </si>
  <si>
    <t>Luforbec  100/6 changes made to columns AD-AH; AK-AM; AP-AQ</t>
  </si>
  <si>
    <t>Changes from 2.17</t>
  </si>
  <si>
    <t>Luforbec 200/6 pMDI added</t>
  </si>
  <si>
    <t>Luforbec 100/6 pMDI changes made to carbon footprint values</t>
  </si>
  <si>
    <t>Luforbec 200/6 micrograms per actuation pressurised inhalation solution</t>
  </si>
  <si>
    <t>High</t>
  </si>
  <si>
    <t>40852411000001105</t>
  </si>
  <si>
    <t xml:space="preserve">Certified carbon neutral product by Carbon Footprint Ltd. Data provided is based on the manufacturing of Luforbec from Indore (India). </t>
  </si>
  <si>
    <t>Trimbow 172 micrograms/ 5 micrograms/ 9 micrograms pressurised inhalation, solution</t>
  </si>
  <si>
    <t>beclometasone 172 micrograms/ formoterol 5 micrograms/ glycopyrronium 9 micrograms/puff</t>
  </si>
  <si>
    <t>40752411000001108</t>
  </si>
  <si>
    <t>Trimbow pMDI 172/5/9  micrograms added; carbon footprint assumed same as 87/5/9 strength Trimbow pMDI.</t>
  </si>
  <si>
    <t>Acopair 18 microgram, inhalation powder, hard capsules</t>
  </si>
  <si>
    <t>tiotropium 18 micrograms/puff</t>
  </si>
  <si>
    <t>30</t>
  </si>
  <si>
    <t>39666411000001105</t>
  </si>
  <si>
    <t>Acopair 18 microgram inhalation powder capsules with NeumoHaler (Viatris UK Healthcare Ltd) 30 capsules added; Estimated carbon footprint information from literature.</t>
  </si>
  <si>
    <t>5. C+D Data. Available at www.cddata.co.uk Accessed 15/11/22.</t>
  </si>
  <si>
    <t>Changes from 2.18</t>
  </si>
  <si>
    <t>Trimbow pMDI 172/5/9  micrograms carbon footprint values amended in line with information from manufacturer.</t>
  </si>
  <si>
    <t>Changes from 2.19</t>
  </si>
  <si>
    <t>Beclu 100 and 200 pMDI added</t>
  </si>
  <si>
    <t xml:space="preserve">Specific ages for adults and children not stated in SPC. </t>
  </si>
  <si>
    <t>Beclu comes with a dose counter</t>
  </si>
  <si>
    <t>41475711000001106</t>
  </si>
  <si>
    <t xml:space="preserve">Certified carbon neutral product by Carbon Footprint Ltd. Data provided is based on the manufacturing of Beclu 100mcg from Indore (India). </t>
  </si>
  <si>
    <t>Not recommended for children (no age specified)</t>
  </si>
  <si>
    <t>41476411000001109</t>
  </si>
  <si>
    <t xml:space="preserve">Certified carbon neutral product by Carbon Footprint Ltd. Data provided is based on the manufacturing of Beclu 200mcg from Indore (India). </t>
  </si>
  <si>
    <t>Beclu 100 micrograms per actuation pressurised inhalation solution</t>
  </si>
  <si>
    <t>Beclu 200 micrograms  per actuation pressurised inhalation solution</t>
  </si>
  <si>
    <t>Asthma / COPD</t>
  </si>
  <si>
    <t>Bibecfo 100/6 micrograms per actuation pressurised inhalation solution</t>
  </si>
  <si>
    <t>Bibecfo 200/6 micrograms per actuation pressurised inhalation solution</t>
  </si>
  <si>
    <t>41966211000001104</t>
  </si>
  <si>
    <t>41964111000001103</t>
  </si>
  <si>
    <t>Changes from 2.20</t>
  </si>
  <si>
    <t>Bibecfo 100 and 200 pMDI added</t>
  </si>
  <si>
    <t>4. Summary of Product Characteristics. Available at https://products.mhra.gov.uk/ Accessed 27/07/23.</t>
  </si>
  <si>
    <t xml:space="preserve">6. NHS DM+D browser. Last accessed 27/07/23 via https://services.nhsbsa.nhs.uk/dmd-browser/ </t>
  </si>
  <si>
    <t>Changes from 2.21</t>
  </si>
  <si>
    <t>Luforbec 100/6 carbon footprint values amended in line with manufacturer notification</t>
  </si>
  <si>
    <t>Changes from 2.22</t>
  </si>
  <si>
    <t>Sereflo Ciphaler 50/250 micrograms</t>
  </si>
  <si>
    <t>3187111000001100</t>
  </si>
  <si>
    <t>Sereflo Ciphaler 50/500 micrograms</t>
  </si>
  <si>
    <t>41619311000001100</t>
  </si>
  <si>
    <t>Not available</t>
  </si>
  <si>
    <t>Seffalair Spiromax 12.75/100 micrograms no longer available in the UK added as advised by the manufacturer so deleted.</t>
  </si>
  <si>
    <t>Seffalair Spiromax 12.75/202 micrograms no longer available in the UK as advised by the manufacturer so deleted.</t>
  </si>
  <si>
    <t>Luforbec 100/6 pMDI data updated in line with manufacturer notification.</t>
  </si>
  <si>
    <t>Changes from 2.23</t>
  </si>
  <si>
    <t>Luforbec 100/6 and 200/6 pMDIs price redution to £13.98 per inhaler</t>
  </si>
  <si>
    <t>GoResp Digihaler 160micrograms/dose / 4.5micrograms/dose dry powder inhaler</t>
  </si>
  <si>
    <t>GoResp Digihaler 320micrograms/dose / 9micrograms/dose dry powder inhaler</t>
  </si>
  <si>
    <t>budesonide 200micrograms and formoterol fumarate 6micrograms/dose</t>
  </si>
  <si>
    <t>budesonide 400micrograms and formoterol fumarate 12micrograms/dose</t>
  </si>
  <si>
    <t>1. Joint Formulary Committee. British National Formulary (online) London: BMJ Group and Pharmaceutical Press. Available at http://www.medicinescomplete.com Last accessed on 06/11/23.</t>
  </si>
  <si>
    <t>2. Summary of Product Characteristics. Available at www.medicines.org.uk Last accessed 06/11/23.</t>
  </si>
  <si>
    <t>42007411000001107</t>
  </si>
  <si>
    <t>42007711000001101</t>
  </si>
  <si>
    <t>Manufacturers carbon footprint data (MIMS.co.uk)</t>
  </si>
  <si>
    <t>Not data available</t>
  </si>
  <si>
    <t>Added GoResp Digihaler 160/4.5 and 320/9 DPIs</t>
  </si>
  <si>
    <t>Duaklir Genuair 340micrograms/12micrograms inhalation powder</t>
  </si>
  <si>
    <t>Manufacturers carbon footprint data for propellant only</t>
  </si>
  <si>
    <t>Changes from 2.24</t>
  </si>
  <si>
    <t>Bibecfo 100/6 and 200/6 pMDI carbon footprint data clarified as for the propellant only</t>
  </si>
  <si>
    <t>Changes from 2.25</t>
  </si>
  <si>
    <t>Fostair pMDI PCRS added in</t>
  </si>
  <si>
    <t>Changes from 2.26</t>
  </si>
  <si>
    <t>Updated carbon footprint information to include propellant only figures and life cycle figures separately for Beclu and Luforbec from Lupin.</t>
  </si>
  <si>
    <t>In order to assist comparisons between other beclometasone pMDI preparations Lupin Healthcare have provided both propellant only and LCA data. The indicative mid-point value/puff (column M) and  /inhaler (column N) are those of the propellant only. These data have been calculated in line with Scope 3 emissions calculations method for use of sold products by PSCI (https://www.google.com/url?sa=t&amp;rct=j&amp;q=&amp;esrc=s&amp;source=web&amp;cd=&amp;ved=2ahUKEwisgNzXwf2CAxVahP0HHY7pCGYQFnoECA8QAQ&amp;url=https%3A%2F%2Fpscinitiative.org%2FdownloadResourceFile%3Fresource%3D779&amp;usg=AOvVaw2S9BVQA8xoK37mMw-ObBjb&amp;opi=89978449). A Cradle to Grave carbon footprint Life Cycle Assessment for Beclu (data on file) has been performed by Carbon Footprint Ltd., who are ISO 14001:2015 and ISO 9001:2015 certified (www.carbonfootprint.com). The product assessment follows the principles outlined by the Greenhouse Gas Protocol and ISO 14067:2018, and is based on product sourced from Lupin Indore (India). Certificates from Carbon Footprint Ltd for Carbon Assessment and Carbon neutrality are available.</t>
  </si>
  <si>
    <t>Changes from 2.27</t>
  </si>
  <si>
    <t>Moved column AS 'Carbon footprint attributed to propellant only or product lifecycle' next to Column N 'Indicative carbon footprint/inhaler (g CO2e) Midpoint value7,8 so that it is clear where the carbon footprint information relates to.</t>
  </si>
  <si>
    <t>Added in the methodology used to produce the inhaler table table as an introduction to the table. The reference is PrescQIPP bulletin 295 inhaler carbon footprint.</t>
  </si>
  <si>
    <t>Methodology used to calculate carbon emissions in the inhaler carbon</t>
  </si>
  <si>
    <t>A list of all inhaler devices (and the name of the manufacturer) used in asthma, COPD and other</t>
  </si>
  <si>
    <t>respiratory conditions in the UK was produced (attachment 1) using the BNF, MIMS, the SPC and NHS</t>
  </si>
  <si>
    <t>dm+d browser as references.15-17,25 The SPC for each of these inhaler devices was reviewed for inhaler</t>
  </si>
  <si>
    <t>carbon emissions data and propellant information.17 Each manufacturer was contacted and asked</t>
  </si>
  <si>
    <t>to complete an online questionnaire regarding the carbon emissions information they have for their</t>
  </si>
  <si>
    <t>inhalers. This was in a standard format with pre-defined questions and included the complete lifecycle</t>
  </si>
  <si>
    <t>of inhalers. Figure 2 illustrates the pre-defined questions.</t>
  </si>
  <si>
    <t>Figure 2. Questions for the manufacturers survey</t>
  </si>
  <si>
    <t>• Brand name; Generic name; Strength (micrograms per actuation)</t>
  </si>
  <si>
    <t>• Device type</t>
  </si>
  <si>
    <t>• Number of actuations per inhaler</t>
  </si>
  <si>
    <t>• Propellant used</t>
  </si>
  <si>
    <t>• Inhaler volume</t>
  </si>
  <si>
    <t>• Total carbon footprint per actuation (g CO2e)</t>
  </si>
  <si>
    <t>• Total carbon footprint per inhaler (g CO2e)</t>
  </si>
  <si>
    <t>• Please state how the carbon footprint per actuation (g CO2e) was calculated where this information</t>
  </si>
  <si>
    <t>is available</t>
  </si>
  <si>
    <t>• Inhaler carbon footprint attributed to raw materials API and excipients manufacturing (including the</t>
  </si>
  <si>
    <t>propellant) (g CO2e)</t>
  </si>
  <si>
    <t>• Inhaler carbon footprint attributed to raw materials inhaler device components (g CO2e)</t>
  </si>
  <si>
    <t>• Inhaler carbon footprint attributed to raw materials for packaging (g CO2e)</t>
  </si>
  <si>
    <t>• Inhaler carbon footprint attributed to raw materials transportation (g CO2e)</t>
  </si>
  <si>
    <t>• Carbon footprint attributed to energy and water consumption (g CO2e)</t>
  </si>
  <si>
    <t>• Carbon footprint attributed to manufacturing waste (g CO2e)</t>
  </si>
  <si>
    <t>• Carbon footprint attributed to HF leaks and air emissions (g CO2e)</t>
  </si>
  <si>
    <t>• Carbon footprint attributed to distribution and transportation (g CO2e)</t>
  </si>
  <si>
    <t>• Carbon footprint attributed to user phase (g CO2e)</t>
  </si>
  <si>
    <t>• Carbon footprint attributed to end of life (g CO2e)</t>
  </si>
  <si>
    <t>• Carbon footprint attributed to other carbon emission data held (g CO2e)</t>
  </si>
  <si>
    <t>• Do you have plans to change to HFA-152a propellant or alternative lower GWP value propellant? If</t>
  </si>
  <si>
    <t>so, when do you plan to introduce lower GWP propellants in your inhalers?</t>
  </si>
  <si>
    <t>• Any further information on the carbon footprint of this product</t>
  </si>
  <si>
    <t>For some inhalers there are a number of different inhaler suppliers in addition to the manufacturer</t>
  </si>
  <si>
    <t>themselves. The transport of products would be different from suppliers and manufacturers and so the</t>
  </si>
  <si>
    <t>carbon footprint values attributed to transport might be different. Transport does not usually contribute</t>
  </si>
  <si>
    <t>a significant amount to the overall footprint of pharmaceuticals, with the exception of air freight.18 The</t>
  </si>
  <si>
    <t>carbon footprint of inhalers issued through suppliers was considered to be the same as the originator</t>
  </si>
  <si>
    <t>manufacturer in this analysis.</t>
  </si>
  <si>
    <t>Twelve out of 16 manufacturers (75%) completed the on-line survey and the information they provided</t>
  </si>
  <si>
    <t>has been entered in to attachment 1. For non-responders or where manufacturers had no data available,</t>
  </si>
  <si>
    <t>the carbon footprint values were estimated using the values and methodology reported by Wilkinson</t>
  </si>
  <si>
    <t>and colleagues.24 For those inhalers which were not included in the Wilkinson paper, the summary of</t>
  </si>
  <si>
    <t>product characteristics were used to identify the type of inhaler (pMDI, DPI or SMI), propellant and</t>
  </si>
  <si>
    <t>whether ethanol was used (i.e. small or large volume inhaler) and then a carbon footprint estimate was</t>
  </si>
  <si>
    <t>made.</t>
  </si>
  <si>
    <t>Please note this bulletin does not cover the ethanol content of inhalers. Please refer to the SPS guidance</t>
  </si>
  <si>
    <t>covering this subject https://www.sps.nhs.uk/articles/ethanol-content-of-inhalers-what-is-the-significance/</t>
  </si>
  <si>
    <t>Check the current SPC for excipients that may be unsuitable for individuals such as ethanol and lactose.</t>
  </si>
  <si>
    <t>The methodologies used by manufacturers to calculate the inhaler carbon footprint were provided. The</t>
  </si>
  <si>
    <t>methods varied between manufacturers and it was not possible to judge the quality of their submissions.</t>
  </si>
  <si>
    <t>This should be borne in mind when comparing inhaler carbon footprint data between different inhalers.</t>
  </si>
  <si>
    <t>However, in most cases the submitted values per actuation or per inhaler were in line with estimations</t>
  </si>
  <si>
    <t>from the literature currently available. There are International Organisation for Standardisation</t>
  </si>
  <si>
    <t>(ISO) documents available on ‘Greenhouse gases – Carbon footprint of products – Requirements and</t>
  </si>
  <si>
    <t>guidelines for quantification’ already available to support this work.26</t>
  </si>
  <si>
    <t>Manufacturers provided product lifecycle carbon footprint breakdown for 52 out of 137 inhalers. Not</t>
  </si>
  <si>
    <t>all submissions had data for each stage of the product lifecycle as some manufacturers had not produced</t>
  </si>
  <si>
    <t>the data in this format. Emerging themes were that the raw materials (which includes propellants),</t>
  </si>
  <si>
    <t>energy and water consumption, and user phase produced higher carbon footprint values compared to</t>
  </si>
  <si>
    <t>other stages of the product lifecycle.</t>
  </si>
  <si>
    <t>Inhaler carbon emissions data</t>
  </si>
  <si>
    <t>Attachment 1 provides a list of UK currently available inhalers and their carbon impact calculated as</t>
  </si>
  <si>
    <t>outlined in the methodology section above. The indicative carbon footprint per actuation (g CO2e) and</t>
  </si>
  <si>
    <t>per inhaler is provided alongside the cost per inhaler. Attachment 1 indicates whether an inhaler has a</t>
  </si>
  <si>
    <t>high (≥35 g CO2e per actuation) or low (&lt;35 g CO2e per actuation) carbon footprint. The 35 g CO2e per</t>
  </si>
  <si>
    <t>actuation value was selected as this was the upper carbon footprint value for a DPI/SMI found in this</t>
  </si>
  <si>
    <t>analysis. This is broadly in line with the NICE inhalers for asthma patient decision aid, which describes a</t>
  </si>
  <si>
    <t>lower carbon footprint inhaler as 20 g CO2e per dose. A higher carbon footprint inhaler is described in</t>
  </si>
  <si>
    <t>the NICE inhalers for asthma patient decision aid as one with an estimated carbon footprint of</t>
  </si>
  <si>
    <t>500 g CO2e per dose. In this analysis this figure was found at the upper end of the inhaler carbon</t>
  </si>
  <si>
    <t>footprint values per actuation.3</t>
  </si>
  <si>
    <t>emissions table (attachment 1.)</t>
  </si>
  <si>
    <t>Changes from 2.28</t>
  </si>
  <si>
    <t>Added in carbon neutral status for Fostair, Clenil, Trimbow and Atimos pMDIs</t>
  </si>
  <si>
    <t>Changes from 2.29</t>
  </si>
  <si>
    <t>Fostair Nexthaler 100/6 and 2000/6 DPIs carbon neutral status added and updated further information on the carbon footprint of this product.</t>
  </si>
  <si>
    <t>Trimbow Nexthaler DPI carbon neutral status added and amended the product lifecycle carbon footprint values in line with manufacturers information.</t>
  </si>
  <si>
    <t>Trimbow 172 micrograms/ 5 micrograms/ 9 micrograms pressurised inhalation, solution amended the product lifecylce carbon footprint values and how the carbon footprint was calculated explanation and further information on the carbon footprint of the product.</t>
  </si>
  <si>
    <t>Trimbow 87 micrograms/ 5 micrograms/ 9 micrograms pressurised inhalation, solution amended to 'small volume' inhaler and further information on the carbon footprint of this product.</t>
  </si>
  <si>
    <t>(Taken from PrescQIPP bulletin 295. Inhaler carbon footprint)</t>
  </si>
  <si>
    <t>https://www.prescqipp.info/our-resources/bulletins/bulletin-295-inhaler-carbon-footprint/</t>
  </si>
  <si>
    <t>Added last updated date and took off therapeutic group filter</t>
  </si>
  <si>
    <t>Completion of the clinical development of low carbon propellant inhalers by the end of 2025. Subsequent introduction to the UK market will take place following regulatory approval</t>
  </si>
  <si>
    <t>Changes from 2.31</t>
  </si>
  <si>
    <t>Changes from 2.30</t>
  </si>
  <si>
    <t>Completion of the clinical development of low carbon propellant inhalers by the end of 2025. Subsequent introduction to the UK market will take place following regulatory approval.</t>
  </si>
  <si>
    <t>Changed column AQ for Clenil, Fostair and Trimbow pMDIs to 'Completion of the clinical development of low carbon propellant inhalers by the end of 2025. Subsequent introduction to the UK market will take place following regulatory approval.'</t>
  </si>
  <si>
    <t>Both propellant only and Product Lifecycle data has been provided. See column AD for details</t>
  </si>
  <si>
    <t>Yes, Lupin Research is actively exploring options for incorporating low GWP propellants for use in its pMDIs.</t>
  </si>
  <si>
    <t>Changes from 2.32</t>
  </si>
  <si>
    <t>For Beclu 100, Beclu 200, Luforbec 100/6 and Luforbec 2006:                                                                                                                                                                                                                                                                                       1.	Column O – changed to read ‘Both propellant only and Product Lifecycle data has been provided. See column AD for details’ 
2.	Column AP – changed to read ‘Yes, Lupin Research is actively exploring options for incorporating low GWP propellants for use in its pMDIs.’
3.	Column AQ – left blank</t>
  </si>
  <si>
    <t>Completion of low carbon propellant inhaler development work expected within 2026. Subsequent introduction to the UK market will take place following regulatory approval.</t>
  </si>
  <si>
    <t>Changes from 2.33</t>
  </si>
  <si>
    <t>Luforbec 100/6 and Luforbec 2006:</t>
  </si>
  <si>
    <t>1. Column AP – change to read ‘Yes’
2. Column AQ – change to read ‘Completion of low carbon propellant inhaler development work expected within 2026. Subsequent introduction to the UK market will take place following regulatory approval.’</t>
  </si>
  <si>
    <t>Advanz Pharma</t>
  </si>
  <si>
    <t>Some data points are reffered from originator, own data will be updated in 12 months time</t>
  </si>
  <si>
    <t>`9004111000001100</t>
  </si>
  <si>
    <t>120 metered actuations</t>
  </si>
  <si>
    <t>`9003811000001100</t>
  </si>
  <si>
    <t xml:space="preserve">Ciclesonide Advanz Pharma 160 micrograms </t>
  </si>
  <si>
    <t xml:space="preserve">Ciclesonide Advanz Pharma 80 micrograms </t>
  </si>
  <si>
    <t>Changes from 2.34</t>
  </si>
  <si>
    <t>Add in two new inhalers:</t>
  </si>
  <si>
    <t>Ciclesonide Advanz Pharma 160 micrograms pMDI</t>
  </si>
  <si>
    <t xml:space="preserve">Ciclesonide Advanz Pharma 80 micrograms pMDI </t>
  </si>
  <si>
    <t>Last updated 27/11/24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</si>
</sst>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0.0"/>
    <numFmt numFmtId="166" formatCode="#,##0_ ;\-#,##0\ "/>
  </numFmts>
  <fonts count="18" x14ac:knownFonts="1">
    <font>
      <sz val="12"/>
      <color theme="1"/>
      <name val="Calibri"/>
      <family val="2"/>
      <scheme val="minor"/>
    </font>
    <font>
      <sz val="12"/>
      <name val="Arial"/>
      <family val="2"/>
    </font>
    <font>
      <b/>
      <sz val="12"/>
      <name val="Arial"/>
      <family val="2"/>
    </font>
    <font>
      <sz val="8"/>
      <name val="Calibri"/>
      <family val="2"/>
      <scheme val="minor"/>
    </font>
    <font>
      <b/>
      <vertAlign val="subscript"/>
      <sz val="12"/>
      <name val="Arial"/>
      <family val="2"/>
    </font>
    <font>
      <b/>
      <vertAlign val="superscript"/>
      <sz val="12"/>
      <name val="Arial"/>
      <family val="2"/>
    </font>
    <font>
      <sz val="12"/>
      <name val="Calibri"/>
      <family val="2"/>
      <scheme val="minor"/>
    </font>
    <font>
      <vertAlign val="superscript"/>
      <sz val="12"/>
      <name val="Arial"/>
      <family val="2"/>
    </font>
    <font>
      <b/>
      <vertAlign val="superscript"/>
      <sz val="12"/>
      <name val="Calibri"/>
      <family val="2"/>
      <scheme val="minor"/>
    </font>
    <font>
      <sz val="12"/>
      <color theme="1"/>
      <name val="Calibri"/>
      <family val="2"/>
      <scheme val="minor"/>
    </font>
    <font>
      <b/>
      <sz val="12"/>
      <name val="Calibri"/>
      <family val="2"/>
    </font>
    <font>
      <vertAlign val="subscript"/>
      <sz val="12"/>
      <name val="Arial"/>
      <family val="2"/>
    </font>
    <font>
      <u/>
      <sz val="12"/>
      <color theme="10"/>
      <name val="Calibri"/>
      <family val="2"/>
      <scheme val="minor"/>
    </font>
    <font>
      <b/>
      <sz val="12"/>
      <color theme="1"/>
      <name val="Calibri"/>
      <family val="2"/>
      <scheme val="minor"/>
    </font>
    <font>
      <sz val="12"/>
      <name val="Calibri"/>
      <family val="2"/>
    </font>
    <font>
      <sz val="12"/>
      <color theme="1"/>
      <name val="Arial"/>
      <family val="2"/>
    </font>
    <font>
      <sz val="11"/>
      <color theme="1"/>
      <name val="Aptos"/>
      <family val="2"/>
    </font>
    <font>
      <b/>
      <sz val="11"/>
      <color theme="1"/>
      <name val="Aptos"/>
      <family val="2"/>
    </font>
  </fonts>
  <fills count="3">
    <fill>
      <patternFill patternType="none"/>
    </fill>
    <fill>
      <patternFill patternType="gray125"/>
    </fill>
    <fill>
      <patternFill patternType="solid">
        <fgColor rgb="FF00B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9" fillId="0" borderId="0" applyFont="0" applyFill="0" applyBorder="0" applyAlignment="0" applyProtection="0"/>
    <xf numFmtId="0" fontId="12" fillId="0" borderId="0" applyNumberFormat="0" applyFill="0" applyBorder="0" applyAlignment="0" applyProtection="0"/>
  </cellStyleXfs>
  <cellXfs count="54">
    <xf numFmtId="0" fontId="0" fillId="0" borderId="0" xfId="0"/>
    <xf numFmtId="16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1" fontId="1" fillId="0" borderId="1" xfId="0" quotePrefix="1" applyNumberFormat="1"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wrapText="1"/>
    </xf>
    <xf numFmtId="165" fontId="1"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164" fontId="1" fillId="0" borderId="2" xfId="0" applyNumberFormat="1" applyFont="1" applyBorder="1" applyAlignment="1">
      <alignment horizontal="center" vertical="center" wrapText="1"/>
    </xf>
    <xf numFmtId="0" fontId="2" fillId="0" borderId="1" xfId="0" applyFont="1" applyBorder="1" applyAlignment="1">
      <alignment horizontal="left" vertical="center"/>
    </xf>
    <xf numFmtId="0" fontId="1" fillId="0" borderId="1" xfId="0" applyFont="1" applyBorder="1" applyAlignment="1">
      <alignment horizontal="left" vertical="center"/>
    </xf>
    <xf numFmtId="3" fontId="1" fillId="0" borderId="1"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166" fontId="2" fillId="0" borderId="1" xfId="1" applyNumberFormat="1" applyFont="1" applyBorder="1" applyAlignment="1">
      <alignment horizontal="center" vertical="center" wrapText="1"/>
    </xf>
    <xf numFmtId="166" fontId="1" fillId="0" borderId="1" xfId="1"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1" fillId="0" borderId="4" xfId="0" applyFont="1" applyBorder="1" applyAlignment="1">
      <alignment horizontal="center" vertical="center" wrapText="1"/>
    </xf>
    <xf numFmtId="1" fontId="1" fillId="0" borderId="5"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1" fontId="1" fillId="0" borderId="4" xfId="0" applyNumberFormat="1" applyFont="1" applyBorder="1" applyAlignment="1">
      <alignment horizontal="center" vertical="center" wrapText="1"/>
    </xf>
    <xf numFmtId="164" fontId="1" fillId="0" borderId="4" xfId="0" applyNumberFormat="1" applyFont="1" applyBorder="1" applyAlignment="1">
      <alignment horizontal="center" vertical="center" wrapText="1"/>
    </xf>
    <xf numFmtId="0" fontId="1" fillId="0" borderId="1" xfId="0" applyFont="1" applyBorder="1" applyAlignment="1">
      <alignment horizontal="center" vertical="center" wrapText="1" readingOrder="1"/>
    </xf>
    <xf numFmtId="0" fontId="6" fillId="0" borderId="0" xfId="0" applyFont="1" applyAlignment="1">
      <alignment wrapText="1"/>
    </xf>
    <xf numFmtId="0" fontId="13" fillId="0" borderId="1" xfId="0" applyFont="1" applyBorder="1" applyAlignment="1">
      <alignment wrapText="1"/>
    </xf>
    <xf numFmtId="0" fontId="12" fillId="0" borderId="1" xfId="2" applyBorder="1" applyAlignment="1">
      <alignment wrapText="1"/>
    </xf>
    <xf numFmtId="1" fontId="1" fillId="0" borderId="1" xfId="1" applyNumberFormat="1" applyFont="1" applyFill="1" applyBorder="1" applyAlignment="1">
      <alignment horizontal="center" vertical="center" wrapText="1"/>
    </xf>
    <xf numFmtId="0" fontId="13" fillId="0" borderId="0" xfId="0" applyFont="1"/>
    <xf numFmtId="49" fontId="1" fillId="0" borderId="7" xfId="0" applyNumberFormat="1" applyFont="1" applyBorder="1" applyAlignment="1">
      <alignment horizontal="center" vertical="center" wrapText="1"/>
    </xf>
    <xf numFmtId="49" fontId="0" fillId="0" borderId="0" xfId="0" applyNumberFormat="1"/>
    <xf numFmtId="49" fontId="0" fillId="0" borderId="0" xfId="0" quotePrefix="1" applyNumberFormat="1"/>
    <xf numFmtId="1" fontId="1" fillId="0" borderId="5" xfId="1" applyNumberFormat="1" applyFont="1" applyFill="1" applyBorder="1" applyAlignment="1">
      <alignment horizontal="center" vertical="center" wrapText="1"/>
    </xf>
    <xf numFmtId="49" fontId="1" fillId="0" borderId="4" xfId="0" applyNumberFormat="1" applyFont="1" applyBorder="1" applyAlignment="1">
      <alignment horizontal="center" vertical="center" wrapText="1"/>
    </xf>
    <xf numFmtId="0" fontId="0" fillId="0" borderId="1" xfId="0" applyBorder="1" applyAlignment="1">
      <alignment horizontal="center" vertical="center" wrapText="1"/>
    </xf>
    <xf numFmtId="0" fontId="12" fillId="0" borderId="0" xfId="2"/>
    <xf numFmtId="0" fontId="1"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wrapText="1"/>
    </xf>
    <xf numFmtId="0" fontId="1" fillId="0" borderId="1" xfId="0" applyFont="1" applyBorder="1" applyAlignment="1">
      <alignment horizont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6" fillId="0" borderId="0" xfId="0" applyFont="1" applyAlignment="1">
      <alignment wrapText="1"/>
    </xf>
    <xf numFmtId="0" fontId="17" fillId="0" borderId="0" xfId="0" applyFont="1" applyAlignment="1">
      <alignment wrapText="1"/>
    </xf>
  </cellXfs>
  <cellStyles count="3">
    <cellStyle name="Comma" xfId="1" builtinId="3"/>
    <cellStyle name="Hyperlink" xfId="2" builtinId="8"/>
    <cellStyle name="Normal" xfId="0" builtinId="0"/>
  </cellStyles>
  <dxfs count="170">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numFmt numFmtId="30" formatCode="@"/>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strike val="0"/>
        <outline val="0"/>
        <shadow val="0"/>
        <u val="none"/>
        <sz val="12"/>
        <color auto="1"/>
        <name val="Arial"/>
        <family val="2"/>
        <scheme val="none"/>
      </font>
      <numFmt numFmtId="30" formatCode="@"/>
      <fill>
        <patternFill patternType="none">
          <fgColor rgb="FF000000"/>
          <bgColor rgb="FFFFFFFF"/>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numFmt numFmtId="30" formatCode="@"/>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64" formatCode="&quot;£&quot;#,##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strike val="0"/>
        <outline val="0"/>
        <shadow val="0"/>
        <u val="none"/>
        <sz val="12"/>
        <color auto="1"/>
        <name val="Arial"/>
        <family val="2"/>
        <scheme val="none"/>
      </font>
      <numFmt numFmtId="164" formatCode="&quot;£&quot;#,##0.00"/>
      <fill>
        <patternFill patternType="none">
          <fgColor rgb="FF000000"/>
          <bgColor rgb="FFFFFFFF"/>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66" formatCode="#,##0_ ;\-#,##0\ "/>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strike val="0"/>
        <outline val="0"/>
        <shadow val="0"/>
        <u val="no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Arial"/>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64" formatCode="&quot;£&quot;#,##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64" formatCode="&quot;£&quot;#,##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sz val="12"/>
        <color auto="1"/>
        <name val="Arial"/>
        <family val="2"/>
        <scheme val="none"/>
      </font>
      <numFmt numFmtId="30" formatCode="@"/>
      <fill>
        <patternFill patternType="none">
          <fgColor rgb="FF000000"/>
          <bgColor rgb="FFFFFFFF"/>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bgogari\Downloads\attachment-1-inhaler-carbon-footprint-data-22%20(1).xlsx" TargetMode="External"/><Relationship Id="rId1" Type="http://schemas.openxmlformats.org/officeDocument/2006/relationships/externalLinkPath" Target="file:///C:\Users\bgogari\Downloads\attachment-1-inhaler-carbon-footprint-data-2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haler carbon footprint"/>
      <sheetName val="Non-asthma or COPD inhalers"/>
      <sheetName val="Additional information"/>
      <sheetName val="References"/>
      <sheetName val="attachment-1-inhaler-carbon-foo"/>
    </sheetNames>
    <sheetDataSet>
      <sheetData sheetId="0"/>
      <sheetData sheetId="1"/>
      <sheetData sheetId="2"/>
      <sheetData sheetId="3"/>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1935FD-A762-4C36-BC46-E21156B9F27A}" name="Table13" displayName="Table13" ref="A1:AS156" totalsRowShown="0" headerRowDxfId="169" dataDxfId="168">
  <autoFilter ref="A1:AS156" xr:uid="{3E646C26-0827-4C25-A459-E0B74188CD90}"/>
  <tableColumns count="45">
    <tableColumn id="1" xr3:uid="{DBDAD3EC-D629-4D70-A636-DBF8A629E29E}" name="Brand name1" dataDxfId="167" totalsRowDxfId="166"/>
    <tableColumn id="16" xr3:uid="{DA874ABE-8A9B-4DAA-938C-70B73D232150}" name="Manufacturer1" dataDxfId="165" totalsRowDxfId="164"/>
    <tableColumn id="2" xr3:uid="{3427279D-86EB-4093-BADB-5420AA682393}" name="Generic name1" dataDxfId="163" totalsRowDxfId="162"/>
    <tableColumn id="15" xr3:uid="{8631B296-6CE8-46CF-959B-4AAA7FE7992F}" name="Indication: asthma, COPD or asthma and COPD1-4" dataDxfId="161" totalsRowDxfId="160"/>
    <tableColumn id="3" xr3:uid="{79C6531C-DAEE-4F16-8F92-94E74C13CFC3}" name="Therapeutic group1" dataDxfId="159" totalsRowDxfId="158"/>
    <tableColumn id="4" xr3:uid="{728073AD-59BB-4466-B826-DD14CBB3B754}" name="Device type1" dataDxfId="157" totalsRowDxfId="156"/>
    <tableColumn id="5" xr3:uid="{00656EB8-E67F-48A0-90D2-3A1DA2777060}" name="Doses per inhaler1,2" dataDxfId="155" totalsRowDxfId="154"/>
    <tableColumn id="6" xr3:uid="{BC23CEDA-481A-49E5-B560-A712C400496B}" name="NHS cost per inhaler 1,5-7" dataDxfId="153" totalsRowDxfId="152"/>
    <tableColumn id="7" xr3:uid="{21027495-8CB1-44BD-A752-D2967FDA0BA6}" name="Cost/puff 1,5-7" dataDxfId="151" totalsRowDxfId="150"/>
    <tableColumn id="8" xr3:uid="{35F53008-D74F-4263-8C97-A2B930C39A20}" name="Age licensed from1-4" dataDxfId="149" totalsRowDxfId="148"/>
    <tableColumn id="9" xr3:uid="{6A1986E6-F462-4804-8644-3814E75132FD}" name="Age ranges for doses1-4" dataDxfId="147" totalsRowDxfId="146"/>
    <tableColumn id="10" xr3:uid="{644AB0BE-B676-4796-A470-AD4AB421AEB3}" name="MART licence?1-4" dataDxfId="145" totalsRowDxfId="144"/>
    <tableColumn id="12" xr3:uid="{EB0CBE3D-45F9-48E9-9C0C-2E5AC705802F}" name="Indicative carbon footprint /puff (g CO2e) _x000a_Midpoint value7,8" dataDxfId="143" totalsRowDxfId="142"/>
    <tableColumn id="19" xr3:uid="{A76B792A-FF34-45AF-8096-32D1EA1B5047}" name="Indicative carbon footprint /inhaler (g CO2e) _x000a_Midpoint value7,8" dataDxfId="141" totalsRowDxfId="140"/>
    <tableColumn id="23" xr3:uid="{784F71FF-1C84-48DD-86C7-74D1F4BCF359}" name="Carbon footprint attributed to propellant only or product lifecycle" dataDxfId="139" totalsRowDxfId="138"/>
    <tableColumn id="14" xr3:uid="{19CE02D7-89F3-464A-91C2-5E330CE9B9FA}" name="Number of puffs per 28 days1-4" dataDxfId="137" totalsRowDxfId="136"/>
    <tableColumn id="13" xr3:uid="{8F756A53-7841-44B1-BFC0-4C9FF6306251}" name="Indicative carbon footprint per 28 days (g CO2e)" dataDxfId="135" totalsRowDxfId="134">
      <calculatedColumnFormula>Table13[[#This Row],[Indicative carbon footprint /puff (g CO2e) 
Midpoint value7,8]]*Table13[[#This Row],[Number of puffs per 28 days1-4]]</calculatedColumnFormula>
    </tableColumn>
    <tableColumn id="54" xr3:uid="{E37D08BC-08F1-4B9A-ABC5-050513CE26AB}" name="Indicative carbon footprint per annum (g CO2e)" dataDxfId="133" totalsRowDxfId="132">
      <calculatedColumnFormula>13*Table13[[#This Row],[Indicative carbon footprint per 28 days (g CO2e)]]</calculatedColumnFormula>
    </tableColumn>
    <tableColumn id="56" xr3:uid="{B576EEC9-27D7-48DB-AC05-F885B0D56E78}" name="Low (&lt;35 g CO2e) or High (≥35 g CO2e) carbon footprint per puff" dataDxfId="131" totalsRowDxfId="130">
      <calculatedColumnFormula>IF(Table13[[#This Row],[Indicative carbon footprint /puff (g CO2e) 
Midpoint value7,8]]&gt;=35,"High","Low")</calculatedColumnFormula>
    </tableColumn>
    <tableColumn id="22" xr3:uid="{55ADA28A-1EBB-4F8F-95D8-24F8C5618A50}" name="Carbon neutral (carbon footprint offset e.g. by planting forests and independently certified)" dataDxfId="129" totalsRowDxfId="128"/>
    <tableColumn id="11" xr3:uid="{4413547A-81CF-4D86-9375-AA67E4E6F9FD}" name="Indicative cost per 28 days1,5" dataDxfId="127" totalsRowDxfId="126"/>
    <tableColumn id="53" xr3:uid="{1D9C56AD-8C53-41BA-993C-958D3E865879}" name="Indicative cost per annum1,5" dataDxfId="125" totalsRowDxfId="124"/>
    <tableColumn id="52" xr3:uid="{B46A65C8-1FB8-4FE3-B96E-F5BBB6FB2BED}" name="Comments" dataDxfId="123" totalsRowDxfId="122"/>
    <tableColumn id="18" xr3:uid="{D1D0B8F5-59D7-46C1-8B4D-3B9985C0DF67}" name="Manufacturers or estimated from literature carbon footprint data" dataDxfId="121" totalsRowDxfId="120"/>
    <tableColumn id="17" xr3:uid="{E48DE9CB-A127-4DD3-BABF-D1CDC3BE7736}" name="Propellant (from SPC)" dataDxfId="119" totalsRowDxfId="118"/>
    <tableColumn id="51" xr3:uid="{7C633851-1284-4255-9398-398F4D772375}" name="Product AMPP SNOMED code9" dataDxfId="117" totalsRowDxfId="116"/>
    <tableColumn id="50" xr3:uid="{BFFDA2D1-631E-49BF-A5B3-F556B8343D5C}" name="Primary care rebate available (England)?7" dataDxfId="115" totalsRowDxfId="114"/>
    <tableColumn id="28" xr3:uid="{6EF4D095-F286-4E76-9670-9C6A59EAB9C7}" name="If other propellant please state7" dataDxfId="113" totalsRowDxfId="112"/>
    <tableColumn id="29" xr3:uid="{8E95F34E-93D7-4C8B-A529-8D7B93969033}" name="Inhaler volume2,3,4,7" dataDxfId="111" totalsRowDxfId="110"/>
    <tableColumn id="35" xr3:uid="{E4D6C48B-3F6E-4C56-A337-1299E9126FA8}" name="Please state how the carbon footprint per actuation (g CO2e) was calculated where this information is available7" dataDxfId="109" totalsRowDxfId="108"/>
    <tableColumn id="36" xr3:uid="{8AA1B411-319E-4F52-A796-0D08F14530DB}" name="Inhaler carbon footprint attributed to raw materials API and excipients manufacturing per inhaler (including the propellant) (g CO2e)7 " dataDxfId="107" totalsRowDxfId="106"/>
    <tableColumn id="37" xr3:uid="{E99C7E9F-44CE-4B62-AF9D-8D10AE465F40}" name="Inhaler carbon footprint attributed to raw materials inhaler device components per inhaler (g CO2e)7 " dataDxfId="105" totalsRowDxfId="104"/>
    <tableColumn id="38" xr3:uid="{EE9DCD42-7DB1-4245-BDDF-6FD0F9E5A4BF}" name="Inhaler carbon footprint attributed to raw materials for packaging per inhaler (g CO2e)7" dataDxfId="103" totalsRowDxfId="102"/>
    <tableColumn id="39" xr3:uid="{875F6964-E93A-448A-83E3-C2704B2DD35A}" name="Inhaler carbon footprint attributed to raw materials transportation per inhaler (g CO2e)7" dataDxfId="101" totalsRowDxfId="100"/>
    <tableColumn id="40" xr3:uid="{29F171B1-60F3-4F50-B6C1-6AC98824B2B2}" name="Carbon footprint attributed to energy and water consumption per inhaler (g CO2e)7" dataDxfId="99" totalsRowDxfId="98"/>
    <tableColumn id="41" xr3:uid="{909C3F31-75CB-413B-9E03-D499F87ABA9B}" name="Carbon footprint attributed to manufacturing waste per inhaler (g CO2e)7" dataDxfId="97" totalsRowDxfId="96"/>
    <tableColumn id="42" xr3:uid="{BA0D06D0-00E4-4C87-9B4D-F08EC2F1C78F}" name="Carbon footprint attributed to HF leaks and air emissions per inhaler (g CO2e)7" dataDxfId="95" totalsRowDxfId="94"/>
    <tableColumn id="43" xr3:uid="{21DA44F9-9458-4799-B8BC-CA23385BAA37}" name="Carbon footprint attributed to distribution and transportation per inhaler (g CO2e)7" dataDxfId="93" totalsRowDxfId="92"/>
    <tableColumn id="44" xr3:uid="{C4C948F8-8AEE-40FC-815A-47DF85491477}" name="Carbon footprint attributed to user phase  per inhaler (g CO2e)7" dataDxfId="91" totalsRowDxfId="90"/>
    <tableColumn id="45" xr3:uid="{56C42522-009F-41CD-82C7-50F48FF9041B}" name="Carbon footprint attributed to end of life per inhaler (g CO2e)7" dataDxfId="89" totalsRowDxfId="88"/>
    <tableColumn id="46" xr3:uid="{8439579A-AE2C-4E6D-AD44-E9A3E4908056}" name="Carbon footprint attributed to other carbon emission data held per inhaler (g CO2e)7" dataDxfId="87" totalsRowDxfId="86"/>
    <tableColumn id="47" xr3:uid="{57898A24-9260-4FE2-AFF8-F1F9CC93BE73}" name="Do you have plans to change to HFA152a propellant or alternative lower GWP value propellant?7" dataDxfId="85" totalsRowDxfId="84"/>
    <tableColumn id="48" xr3:uid="{7911B85B-49DF-4A5D-8124-509E9636ADB8}" name="When do you plan to introduce lower GWP propellants in your inhalers?7" dataDxfId="83" totalsRowDxfId="82"/>
    <tableColumn id="49" xr3:uid="{854C5EB1-B0EE-43D7-B649-5A313067A913}" name="Further information on the carbon footprint of this product7" dataDxfId="81" totalsRowDxfId="80"/>
    <tableColumn id="20" xr3:uid="{A4CD8294-D2F1-441C-B0A0-0EA64A1C0876}" name="For comparison, PrescQIPP Hot Topics Resource prior estimates for the indicative carbon footprint /puff (g CO2e) _x000a_Midpoint value8,10" dataDxfId="79" totalsRowDxfId="7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FE1E29F-CE30-4ADC-839A-CAB939045B55}" name="Table133" displayName="Table133" ref="A1:AL12" totalsRowCount="1" headerRowDxfId="77" dataDxfId="76">
  <autoFilter ref="A1:AL11" xr:uid="{3E646C26-0827-4C25-A459-E0B74188CD90}"/>
  <tableColumns count="38">
    <tableColumn id="1" xr3:uid="{C408A9C8-32A7-447A-B567-3B2019E09A92}" name="Brand name1" dataDxfId="75" totalsRowDxfId="74"/>
    <tableColumn id="16" xr3:uid="{2CFC1EB4-2C13-4C1F-9820-7D950C118D77}" name="Manufacturer1" dataDxfId="73" totalsRowDxfId="72"/>
    <tableColumn id="2" xr3:uid="{ED11B3BC-EDF0-40E7-80BD-74A41BD2C2F3}" name="Generic name1" dataDxfId="71" totalsRowDxfId="70"/>
    <tableColumn id="15" xr3:uid="{00788CE0-4741-44B9-AA3F-CA5FF9AB8B1E}" name="Indication: asthma, COPD or asthma and COPD or other 1-4" dataDxfId="69" totalsRowDxfId="68"/>
    <tableColumn id="3" xr3:uid="{4EDC120C-3C89-46D7-8021-5B52F0B4F98D}" name="Therapeutic group1" dataDxfId="67" totalsRowDxfId="66"/>
    <tableColumn id="4" xr3:uid="{0ED3CF89-204D-4782-9312-A4BE68F8E550}" name="Device type1" dataDxfId="65" totalsRowDxfId="64"/>
    <tableColumn id="5" xr3:uid="{362140D6-FEB2-41DA-9E2B-A27D4450CC5C}" name="Doses per inhaler1,2" dataDxfId="63" totalsRowDxfId="62"/>
    <tableColumn id="6" xr3:uid="{0154CAC7-906B-4F54-91DA-7F8A2F94EB15}" name="NHS cost per inhaler 1,5-7" dataDxfId="61" totalsRowDxfId="60"/>
    <tableColumn id="7" xr3:uid="{13D4499F-D94E-497A-9AAA-914CF2344D41}" name="Cost/puff 1,5-7" dataDxfId="59" totalsRowDxfId="58"/>
    <tableColumn id="8" xr3:uid="{2AD0E1FC-4F7A-464C-89A9-2E24E4391FAD}" name="Age licensed from1-4" dataDxfId="57" totalsRowDxfId="56"/>
    <tableColumn id="9" xr3:uid="{64D34C3F-78D0-4E78-9BBC-E6D76A51F37B}" name="Age ranges for doses1-4" dataDxfId="55" totalsRowDxfId="54"/>
    <tableColumn id="10" xr3:uid="{CD7EC734-312F-4C0C-84E4-A282B7A75DFA}" name="MART licence?1-4" dataDxfId="53" totalsRowDxfId="52"/>
    <tableColumn id="12" xr3:uid="{6473C7E7-E17E-4AA0-A9EB-639E067781C9}" name="Indicative carbon footprint /puff (g CO2e) _x000a_Midpoint value7,8" dataDxfId="51" totalsRowDxfId="50"/>
    <tableColumn id="19" xr3:uid="{9B984017-B64A-4E8C-AD40-796B513A6410}" name="Indicative carbon footprint /inhaler (g CO2e) _x000a_Midpoint value7,8" dataDxfId="49" totalsRowDxfId="48"/>
    <tableColumn id="56" xr3:uid="{A7DCB4C1-778A-4E46-BEEA-8D0338D99A99}" name="Low (&lt;35 g CO2e) or High (&gt;35 g CO2e) carbon footprint per puff" dataDxfId="47" totalsRowDxfId="46">
      <calculatedColumnFormula>IF(Table133[[#This Row],[Indicative carbon footprint /puff (g CO2e) 
Midpoint value7,8]]&lt;35,"Low","High")</calculatedColumnFormula>
    </tableColumn>
    <tableColumn id="52" xr3:uid="{3987DBB3-AB4D-482B-B6D7-2EA73E70B359}" name="Comments" dataDxfId="45" totalsRowDxfId="44"/>
    <tableColumn id="18" xr3:uid="{AA323671-2E2A-46B6-BA77-1E9D2062C8BA}" name="Manufacturers or estimated from literature carbon footprint data" dataDxfId="43" totalsRowDxfId="42"/>
    <tableColumn id="17" xr3:uid="{F106523E-9292-429D-BF04-236ACEA43C5D}" name="Propellant (from SPC)" dataDxfId="41" totalsRowDxfId="40"/>
    <tableColumn id="51" xr3:uid="{DCE10DD7-415E-44F4-8AFC-BBAEBD3BC6C3}" name="Product AMPP SNOWMED code9" dataDxfId="39" totalsRowDxfId="38"/>
    <tableColumn id="50" xr3:uid="{2FE4FEEB-93CA-4471-9314-F06A2C0C72EC}" name="Primary care rebate available (England)?7" dataDxfId="37" totalsRowDxfId="36"/>
    <tableColumn id="28" xr3:uid="{F9DEA048-8904-4C96-8F47-000AB390ADBF}" name="If other propellant please state7" dataDxfId="35" totalsRowDxfId="34"/>
    <tableColumn id="29" xr3:uid="{C0C5062F-8991-48D9-B1C2-BF209C3EDC66}" name="Inhaler volume2,3,4,7" dataDxfId="33" totalsRowDxfId="32"/>
    <tableColumn id="35" xr3:uid="{5CFE17B9-7FBD-4BFC-A158-92D7319AF0C2}" name="Please state how the carbon footprint per actuation (g CO2e) was calculated where this information is available7" dataDxfId="31" totalsRowDxfId="30"/>
    <tableColumn id="36" xr3:uid="{7DFEA1AA-863C-40B8-9E13-59D19F185F13}" name="Inhaler carbon footprint attributed to raw materials API and excipients manufacturing per inhaler (including the propellant) (g CO2e)7 " dataDxfId="29" totalsRowDxfId="28"/>
    <tableColumn id="37" xr3:uid="{2ABFBD7A-B702-418B-B649-A92B986830AD}" name="Inhaler carbon footprint attributed to raw materials inhaler device components per inhaler (g CO2e)7 " dataDxfId="27" totalsRowDxfId="26"/>
    <tableColumn id="38" xr3:uid="{BED13201-CCD6-4E37-9891-B7FB26E8E9B2}" name="Inhaler carbon footprint attributed to raw materials for packaging per inhaler (g CO2e)7" dataDxfId="25" totalsRowDxfId="24"/>
    <tableColumn id="39" xr3:uid="{A31A0764-3C76-4C70-9233-069707452954}" name="Inhaler carbon footprint attributed to raw materials transportation per inhaler (g CO2e)7" dataDxfId="23" totalsRowDxfId="22"/>
    <tableColumn id="40" xr3:uid="{CFB547E8-AA15-4C0C-8AAF-2C6785EF8712}" name="Carbon footprint attributed to energy and water consumption per inhaler (g CO2e)7" dataDxfId="21" totalsRowDxfId="20"/>
    <tableColumn id="41" xr3:uid="{74DF6A60-519E-42B2-853B-7CFBB90BBAC5}" name="Carbon footprint attributed to manufacturing waste per inhaler   (g CO2e)7" dataDxfId="19" totalsRowDxfId="18"/>
    <tableColumn id="42" xr3:uid="{D42E01F6-F3F5-4558-B6F6-FB9AC6D01D69}" name="Carbon footprint attributed to HF leaks and air emissions per inhaler (g CO2e)7" dataDxfId="17" totalsRowDxfId="16"/>
    <tableColumn id="43" xr3:uid="{9FF9DF3A-156F-460A-9ACF-B8BFD8F543C7}" name="Carbon footprint attributed to distribution and transportation per inhaler (g CO2e)7" dataDxfId="15" totalsRowDxfId="14"/>
    <tableColumn id="44" xr3:uid="{4C77FC9E-0495-4DC1-943F-9790652DDD5D}" name="Carbon footprint attributed to user phase  per inhaler (g CO2e)7" dataDxfId="13" totalsRowDxfId="12"/>
    <tableColumn id="45" xr3:uid="{814BA993-68D1-4C57-A444-688F8F038453}" name="Carbon footprint attributed to end of life per inhaler (g CO2e)7" dataDxfId="11" totalsRowDxfId="10"/>
    <tableColumn id="46" xr3:uid="{B36D22D7-4A48-48D2-9B08-34A26BC2C272}" name="Carbon footprint attributed to other carbon emission data held per inhaler (g CO2e)7" dataDxfId="9" totalsRowDxfId="8"/>
    <tableColumn id="47" xr3:uid="{A5D3B25F-BAEC-4637-BED7-D365336C63D6}" name="Do you have plans to change to HFA152a propellant or alternative lower GWP value propellant?7" dataDxfId="7" totalsRowDxfId="6"/>
    <tableColumn id="48" xr3:uid="{4B243945-6470-400D-8820-426B10885C38}" name="When do you plan to introduce lower GWP propellants in your inhalers?7" dataDxfId="5" totalsRowDxfId="4"/>
    <tableColumn id="49" xr3:uid="{99BE8D4D-7B79-4D24-B308-A8A316DA929D}" name="Further information on the carbon footprint of this product7" dataDxfId="3" totalsRowDxfId="2"/>
    <tableColumn id="20" xr3:uid="{89036936-0C39-4D2E-B6A1-1CDB2683AA21}" name="For comparison, PrescQIPP Hot Topics Resource prior estimates for the indicative carbon footprint /puff (g CO2e) _x000a_Midpoint value10" dataDxfId="1" totalsRow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prescqipp.info/our-resources/bulletins/bulletin-295-inhaler-carbon-footprint/"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prescqipp.info/our-resources/webkits/hot-topics/" TargetMode="External"/><Relationship Id="rId3" Type="http://schemas.openxmlformats.org/officeDocument/2006/relationships/hyperlink" Target="https://www.medicines.org.uk/emc/" TargetMode="External"/><Relationship Id="rId7" Type="http://schemas.openxmlformats.org/officeDocument/2006/relationships/hyperlink" Target="https://www.nhsbsa.nhs.uk/prescription-data/understanding-our-data/bnf-snomed-mapping" TargetMode="External"/><Relationship Id="rId2" Type="http://schemas.openxmlformats.org/officeDocument/2006/relationships/hyperlink" Target="https://about.medicinescomplete.com/" TargetMode="External"/><Relationship Id="rId1" Type="http://schemas.openxmlformats.org/officeDocument/2006/relationships/hyperlink" Target="https://services.nhsbsa.nhs.uk/dmd-browser/" TargetMode="External"/><Relationship Id="rId6" Type="http://schemas.openxmlformats.org/officeDocument/2006/relationships/hyperlink" Target="https://www.bronchitol.info/country/united-kingdom/" TargetMode="External"/><Relationship Id="rId5" Type="http://schemas.openxmlformats.org/officeDocument/2006/relationships/hyperlink" Target="https://products.mhra.gov.uk/" TargetMode="External"/><Relationship Id="rId10" Type="http://schemas.openxmlformats.org/officeDocument/2006/relationships/hyperlink" Target="https://bmjopen.bmj.com/content/9/10/e028763" TargetMode="External"/><Relationship Id="rId4" Type="http://schemas.openxmlformats.org/officeDocument/2006/relationships/hyperlink" Target="https://www.ema.europa.eu/en/glossary/european-public-assessment-report" TargetMode="External"/><Relationship Id="rId9" Type="http://schemas.openxmlformats.org/officeDocument/2006/relationships/hyperlink" Target="http://www.cddata.co.uk/"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244FE-2A45-4708-AA44-D97B64F34402}">
  <dimension ref="A1:AS173"/>
  <sheetViews>
    <sheetView tabSelected="1" zoomScale="70" zoomScaleNormal="70" workbookViewId="0">
      <pane xSplit="1" topLeftCell="B1" activePane="topRight" state="frozen"/>
      <selection pane="topRight"/>
    </sheetView>
  </sheetViews>
  <sheetFormatPr defaultColWidth="10.875" defaultRowHeight="15" x14ac:dyDescent="0.25"/>
  <cols>
    <col min="1" max="2" width="32.625" style="2" customWidth="1"/>
    <col min="3" max="3" width="42.625" style="2" customWidth="1"/>
    <col min="4" max="4" width="22.5" style="2" customWidth="1"/>
    <col min="5" max="5" width="19.5" style="2" customWidth="1"/>
    <col min="6" max="7" width="12.125" style="2" customWidth="1"/>
    <col min="8" max="8" width="15" style="1" customWidth="1"/>
    <col min="9" max="9" width="15.25" style="1" customWidth="1"/>
    <col min="10" max="10" width="14.875" style="2" customWidth="1"/>
    <col min="11" max="11" width="13.875" style="2" customWidth="1"/>
    <col min="12" max="12" width="14.625" style="2" customWidth="1"/>
    <col min="13" max="15" width="28.625" style="2" customWidth="1"/>
    <col min="16" max="16" width="11" style="3" customWidth="1"/>
    <col min="17" max="17" width="27" style="2" customWidth="1"/>
    <col min="18" max="18" width="26.875" style="26" customWidth="1"/>
    <col min="19" max="20" width="27" style="2" customWidth="1"/>
    <col min="21" max="21" width="13.125" style="1" customWidth="1"/>
    <col min="22" max="22" width="18.375" style="1" customWidth="1"/>
    <col min="23" max="23" width="54.5" style="2" customWidth="1"/>
    <col min="24" max="24" width="43.375" style="2" customWidth="1"/>
    <col min="25" max="25" width="22.75" style="2" customWidth="1"/>
    <col min="26" max="26" width="26.375" style="3" customWidth="1"/>
    <col min="27" max="27" width="13.75" style="2" customWidth="1"/>
    <col min="28" max="28" width="13.625" style="2" customWidth="1"/>
    <col min="29" max="29" width="12.375" style="2" customWidth="1"/>
    <col min="30" max="30" width="75.375" style="2" customWidth="1"/>
    <col min="31" max="31" width="22.25" style="2" customWidth="1"/>
    <col min="32" max="32" width="19.375" style="2" customWidth="1"/>
    <col min="33" max="33" width="38.625" style="2" customWidth="1"/>
    <col min="34" max="34" width="23.125" style="2" customWidth="1"/>
    <col min="35" max="35" width="18.625" style="2" customWidth="1"/>
    <col min="36" max="36" width="48.875" style="2" customWidth="1"/>
    <col min="37" max="37" width="44.875" style="2" customWidth="1"/>
    <col min="38" max="38" width="18.75" style="2" customWidth="1"/>
    <col min="39" max="39" width="17.5" style="2" customWidth="1"/>
    <col min="40" max="40" width="42.375" style="2" customWidth="1"/>
    <col min="41" max="41" width="55.875" style="2" customWidth="1"/>
    <col min="42" max="42" width="66.25" style="2" customWidth="1"/>
    <col min="43" max="43" width="25.625" style="2" customWidth="1"/>
    <col min="44" max="44" width="109.5" style="2" customWidth="1"/>
    <col min="45" max="45" width="25.625" style="2" customWidth="1"/>
    <col min="46" max="16384" width="10.875" style="2"/>
  </cols>
  <sheetData>
    <row r="1" spans="1:45" s="5" customFormat="1" ht="114.75" x14ac:dyDescent="0.25">
      <c r="A1" s="8" t="s">
        <v>316</v>
      </c>
      <c r="B1" s="8" t="s">
        <v>533</v>
      </c>
      <c r="C1" s="8" t="s">
        <v>317</v>
      </c>
      <c r="D1" s="8" t="s">
        <v>534</v>
      </c>
      <c r="E1" s="8" t="s">
        <v>318</v>
      </c>
      <c r="F1" s="8" t="s">
        <v>319</v>
      </c>
      <c r="G1" s="8" t="s">
        <v>320</v>
      </c>
      <c r="H1" s="8" t="s">
        <v>538</v>
      </c>
      <c r="I1" s="8" t="s">
        <v>539</v>
      </c>
      <c r="J1" s="8" t="s">
        <v>540</v>
      </c>
      <c r="K1" s="8" t="s">
        <v>541</v>
      </c>
      <c r="L1" s="8" t="s">
        <v>542</v>
      </c>
      <c r="M1" s="8" t="s">
        <v>572</v>
      </c>
      <c r="N1" s="8" t="s">
        <v>573</v>
      </c>
      <c r="O1" s="8" t="s">
        <v>670</v>
      </c>
      <c r="P1" s="8" t="s">
        <v>544</v>
      </c>
      <c r="Q1" s="8" t="s">
        <v>574</v>
      </c>
      <c r="R1" s="25" t="s">
        <v>575</v>
      </c>
      <c r="S1" s="8" t="s">
        <v>592</v>
      </c>
      <c r="T1" s="8" t="s">
        <v>750</v>
      </c>
      <c r="U1" s="8" t="s">
        <v>321</v>
      </c>
      <c r="V1" s="8" t="s">
        <v>334</v>
      </c>
      <c r="W1" s="8" t="s">
        <v>0</v>
      </c>
      <c r="X1" s="8" t="s">
        <v>1</v>
      </c>
      <c r="Y1" s="8" t="s">
        <v>2</v>
      </c>
      <c r="Z1" s="8" t="s">
        <v>730</v>
      </c>
      <c r="AA1" s="8" t="s">
        <v>547</v>
      </c>
      <c r="AB1" s="8" t="s">
        <v>548</v>
      </c>
      <c r="AC1" s="8" t="s">
        <v>549</v>
      </c>
      <c r="AD1" s="8" t="s">
        <v>576</v>
      </c>
      <c r="AE1" s="8" t="s">
        <v>577</v>
      </c>
      <c r="AF1" s="8" t="s">
        <v>578</v>
      </c>
      <c r="AG1" s="8" t="s">
        <v>579</v>
      </c>
      <c r="AH1" s="8" t="s">
        <v>580</v>
      </c>
      <c r="AI1" s="8" t="s">
        <v>581</v>
      </c>
      <c r="AJ1" s="8" t="s">
        <v>582</v>
      </c>
      <c r="AK1" s="8" t="s">
        <v>583</v>
      </c>
      <c r="AL1" s="8" t="s">
        <v>584</v>
      </c>
      <c r="AM1" s="8" t="s">
        <v>585</v>
      </c>
      <c r="AN1" s="8" t="s">
        <v>586</v>
      </c>
      <c r="AO1" s="8" t="s">
        <v>587</v>
      </c>
      <c r="AP1" s="8" t="s">
        <v>550</v>
      </c>
      <c r="AQ1" s="8" t="s">
        <v>551</v>
      </c>
      <c r="AR1" s="8" t="s">
        <v>552</v>
      </c>
      <c r="AS1" s="8" t="s">
        <v>588</v>
      </c>
    </row>
    <row r="2" spans="1:45" s="5" customFormat="1" ht="30" x14ac:dyDescent="0.25">
      <c r="A2" s="10" t="s">
        <v>773</v>
      </c>
      <c r="B2" s="10" t="s">
        <v>32</v>
      </c>
      <c r="C2" s="10" t="s">
        <v>774</v>
      </c>
      <c r="D2" s="10" t="s">
        <v>43</v>
      </c>
      <c r="E2" s="10" t="s">
        <v>113</v>
      </c>
      <c r="F2" s="10" t="s">
        <v>6</v>
      </c>
      <c r="G2" s="10" t="s">
        <v>775</v>
      </c>
      <c r="H2" s="1">
        <v>19.989999999999998</v>
      </c>
      <c r="I2" s="1">
        <f t="shared" ref="I2:I25" si="0">H2/G2</f>
        <v>0.66633333333333333</v>
      </c>
      <c r="J2" s="2" t="s">
        <v>12</v>
      </c>
      <c r="K2" s="2" t="s">
        <v>12</v>
      </c>
      <c r="L2" s="10" t="s">
        <v>5</v>
      </c>
      <c r="M2" s="2">
        <v>18.75</v>
      </c>
      <c r="N2" s="2">
        <f>Table13[[#This Row],[Doses per inhaler1,2]]*Table13[[#This Row],[Indicative carbon footprint /puff (g CO2e) 
Midpoint value7,8]]</f>
        <v>562.5</v>
      </c>
      <c r="O2" s="10" t="s">
        <v>63</v>
      </c>
      <c r="P2" s="3">
        <v>28</v>
      </c>
      <c r="Q2" s="29">
        <f>Table13[[#This Row],[Indicative carbon footprint /puff (g CO2e) 
Midpoint value7,8]]*Table13[[#This Row],[Number of puffs per 28 days1-4]]</f>
        <v>525</v>
      </c>
      <c r="R2" s="42">
        <f>13*Table13[[#This Row],[Indicative carbon footprint per 28 days (g CO2e)]]</f>
        <v>6825</v>
      </c>
      <c r="S2" s="3" t="str">
        <f>IF(Table13[[#This Row],[Indicative carbon footprint /puff (g CO2e) 
Midpoint value7,8]]&gt;=35,"High","Low")</f>
        <v>Low</v>
      </c>
      <c r="T2" s="3"/>
      <c r="U2" s="1">
        <f>Table13[[#This Row],[Number of puffs per 28 days1-4]]*Table13[[#This Row],[Cost/puff 1,5-7]]</f>
        <v>18.657333333333334</v>
      </c>
      <c r="V2" s="1">
        <f>Table13[[#This Row],[Indicative cost per 28 days1,5]]*13</f>
        <v>242.54533333333333</v>
      </c>
      <c r="W2" s="32"/>
      <c r="X2" s="2" t="s">
        <v>7</v>
      </c>
      <c r="Y2" s="10" t="s">
        <v>5</v>
      </c>
      <c r="Z2" s="4" t="s">
        <v>776</v>
      </c>
      <c r="AA2" s="10" t="s">
        <v>45</v>
      </c>
      <c r="AB2" s="2" t="s">
        <v>17</v>
      </c>
      <c r="AC2" s="9" t="s">
        <v>5</v>
      </c>
      <c r="AD2" s="2" t="s">
        <v>63</v>
      </c>
      <c r="AE2" s="2" t="s">
        <v>63</v>
      </c>
      <c r="AF2" s="2" t="s">
        <v>63</v>
      </c>
      <c r="AG2" s="2" t="s">
        <v>63</v>
      </c>
      <c r="AH2" s="2" t="s">
        <v>63</v>
      </c>
      <c r="AI2" s="2" t="s">
        <v>63</v>
      </c>
      <c r="AJ2" s="2" t="s">
        <v>63</v>
      </c>
      <c r="AK2" s="2" t="s">
        <v>63</v>
      </c>
      <c r="AL2" s="2" t="s">
        <v>63</v>
      </c>
      <c r="AM2" s="2" t="s">
        <v>63</v>
      </c>
      <c r="AN2" s="2" t="s">
        <v>63</v>
      </c>
      <c r="AO2" s="2" t="s">
        <v>63</v>
      </c>
      <c r="AP2" s="2" t="s">
        <v>63</v>
      </c>
      <c r="AQ2" s="2" t="s">
        <v>63</v>
      </c>
      <c r="AR2" s="2" t="s">
        <v>63</v>
      </c>
      <c r="AS2" s="10" t="s">
        <v>313</v>
      </c>
    </row>
    <row r="3" spans="1:45" ht="75" x14ac:dyDescent="0.25">
      <c r="A3" s="2" t="s">
        <v>336</v>
      </c>
      <c r="B3" s="2" t="s">
        <v>9</v>
      </c>
      <c r="C3" s="2" t="s">
        <v>337</v>
      </c>
      <c r="D3" s="2" t="s">
        <v>10</v>
      </c>
      <c r="E3" s="2" t="s">
        <v>11</v>
      </c>
      <c r="F3" s="2" t="s">
        <v>6</v>
      </c>
      <c r="G3" s="2">
        <v>60</v>
      </c>
      <c r="H3" s="1">
        <v>29.97</v>
      </c>
      <c r="I3" s="1">
        <f t="shared" si="0"/>
        <v>0.4995</v>
      </c>
      <c r="J3" s="2" t="s">
        <v>12</v>
      </c>
      <c r="K3" s="2" t="s">
        <v>12</v>
      </c>
      <c r="L3" s="2" t="s">
        <v>13</v>
      </c>
      <c r="M3" s="3">
        <f>587/60</f>
        <v>9.7833333333333332</v>
      </c>
      <c r="N3" s="3">
        <f>Table13[[#This Row],[Doses per inhaler1,2]]*Table13[[#This Row],[Indicative carbon footprint /puff (g CO2e) 
Midpoint value7,8]]</f>
        <v>587</v>
      </c>
      <c r="O3" s="39" t="s">
        <v>671</v>
      </c>
      <c r="P3" s="3">
        <v>56</v>
      </c>
      <c r="Q3" s="3">
        <f>Table13[[#This Row],[Indicative carbon footprint /puff (g CO2e) 
Midpoint value7,8]]*Table13[[#This Row],[Number of puffs per 28 days1-4]]</f>
        <v>547.86666666666667</v>
      </c>
      <c r="R3" s="3">
        <f>13*Table13[[#This Row],[Indicative carbon footprint per 28 days (g CO2e)]]</f>
        <v>7122.2666666666664</v>
      </c>
      <c r="S3" s="3" t="str">
        <f>IF(Table13[[#This Row],[Indicative carbon footprint /puff (g CO2e) 
Midpoint value7,8]]&gt;=35,"High","Low")</f>
        <v>Low</v>
      </c>
      <c r="T3" s="3"/>
      <c r="U3" s="1">
        <f>Table13[[#This Row],[Number of puffs per 28 days1-4]]*Table13[[#This Row],[Cost/puff 1,5-7]]</f>
        <v>27.972000000000001</v>
      </c>
      <c r="V3" s="1">
        <f>Table13[[#This Row],[Indicative cost per 28 days1,5]]*13</f>
        <v>363.63600000000002</v>
      </c>
      <c r="W3" s="1"/>
      <c r="X3" s="2" t="s">
        <v>645</v>
      </c>
      <c r="Y3" s="11"/>
      <c r="Z3" s="4" t="s">
        <v>15</v>
      </c>
      <c r="AA3" s="2" t="s">
        <v>16</v>
      </c>
      <c r="AB3" s="2" t="s">
        <v>17</v>
      </c>
      <c r="AC3" s="2" t="s">
        <v>5</v>
      </c>
      <c r="AD3" s="2" t="s">
        <v>642</v>
      </c>
      <c r="AE3" s="2" t="s">
        <v>63</v>
      </c>
      <c r="AF3" s="2" t="s">
        <v>63</v>
      </c>
      <c r="AG3" s="2" t="s">
        <v>63</v>
      </c>
      <c r="AH3" s="2" t="s">
        <v>63</v>
      </c>
      <c r="AI3" s="2" t="s">
        <v>63</v>
      </c>
      <c r="AJ3" s="2" t="s">
        <v>63</v>
      </c>
      <c r="AK3" s="2" t="s">
        <v>63</v>
      </c>
      <c r="AL3" s="2" t="s">
        <v>63</v>
      </c>
      <c r="AM3" s="2" t="s">
        <v>63</v>
      </c>
      <c r="AN3" s="2" t="s">
        <v>63</v>
      </c>
      <c r="AO3" s="2" t="s">
        <v>63</v>
      </c>
      <c r="AP3" s="2" t="s">
        <v>63</v>
      </c>
      <c r="AQ3" s="2" t="s">
        <v>63</v>
      </c>
      <c r="AR3" s="2" t="s">
        <v>63</v>
      </c>
      <c r="AS3" s="2" t="s">
        <v>310</v>
      </c>
    </row>
    <row r="4" spans="1:45" ht="90" x14ac:dyDescent="0.25">
      <c r="A4" s="2" t="s">
        <v>338</v>
      </c>
      <c r="B4" s="2" t="s">
        <v>9</v>
      </c>
      <c r="C4" s="2" t="s">
        <v>341</v>
      </c>
      <c r="D4" s="2" t="s">
        <v>18</v>
      </c>
      <c r="E4" s="2" t="s">
        <v>11</v>
      </c>
      <c r="F4" s="2" t="s">
        <v>19</v>
      </c>
      <c r="G4" s="2">
        <v>120</v>
      </c>
      <c r="H4" s="1">
        <v>16.420000000000002</v>
      </c>
      <c r="I4" s="1">
        <f t="shared" si="0"/>
        <v>0.13683333333333333</v>
      </c>
      <c r="J4" s="2" t="s">
        <v>12</v>
      </c>
      <c r="K4" s="2" t="s">
        <v>12</v>
      </c>
      <c r="L4" s="2" t="s">
        <v>13</v>
      </c>
      <c r="M4" s="3">
        <f>19285/120</f>
        <v>160.70833333333334</v>
      </c>
      <c r="N4" s="3">
        <f>Table13[[#This Row],[Doses per inhaler1,2]]*Table13[[#This Row],[Indicative carbon footprint /puff (g CO2e) 
Midpoint value7,8]]</f>
        <v>19285</v>
      </c>
      <c r="O4" s="10" t="s">
        <v>672</v>
      </c>
      <c r="P4" s="3">
        <v>112</v>
      </c>
      <c r="Q4" s="3">
        <f>Table13[[#This Row],[Indicative carbon footprint /puff (g CO2e) 
Midpoint value7,8]]*Table13[[#This Row],[Number of puffs per 28 days1-4]]</f>
        <v>17999.333333333336</v>
      </c>
      <c r="R4" s="3">
        <f>13*Table13[[#This Row],[Indicative carbon footprint per 28 days (g CO2e)]]</f>
        <v>233991.33333333337</v>
      </c>
      <c r="S4" s="3" t="str">
        <f>IF(Table13[[#This Row],[Indicative carbon footprint /puff (g CO2e) 
Midpoint value7,8]]&gt;=35,"High","Low")</f>
        <v>High</v>
      </c>
      <c r="T4" s="3"/>
      <c r="U4" s="1">
        <f>Table13[[#This Row],[Number of puffs per 28 days1-4]]*Table13[[#This Row],[Cost/puff 1,5-7]]</f>
        <v>15.325333333333333</v>
      </c>
      <c r="V4" s="1">
        <f>Table13[[#This Row],[Indicative cost per 28 days1,5]]*13</f>
        <v>199.22933333333333</v>
      </c>
      <c r="W4" s="1"/>
      <c r="X4" s="2" t="s">
        <v>14</v>
      </c>
      <c r="Y4" s="11" t="s">
        <v>210</v>
      </c>
      <c r="Z4" s="4" t="s">
        <v>20</v>
      </c>
      <c r="AA4" s="2" t="s">
        <v>16</v>
      </c>
      <c r="AC4" s="2" t="s">
        <v>5</v>
      </c>
      <c r="AD4" s="2" t="s">
        <v>21</v>
      </c>
      <c r="AE4" s="2" t="s">
        <v>63</v>
      </c>
      <c r="AF4" s="2" t="s">
        <v>63</v>
      </c>
      <c r="AG4" s="2" t="s">
        <v>63</v>
      </c>
      <c r="AH4" s="2" t="s">
        <v>63</v>
      </c>
      <c r="AI4" s="2" t="s">
        <v>63</v>
      </c>
      <c r="AJ4" s="2" t="s">
        <v>63</v>
      </c>
      <c r="AK4" s="2" t="s">
        <v>63</v>
      </c>
      <c r="AL4" s="2" t="s">
        <v>63</v>
      </c>
      <c r="AM4" s="2" t="s">
        <v>63</v>
      </c>
      <c r="AN4" s="2" t="s">
        <v>63</v>
      </c>
      <c r="AO4" s="2" t="s">
        <v>63</v>
      </c>
      <c r="AP4" s="2" t="s">
        <v>63</v>
      </c>
      <c r="AQ4" s="2" t="s">
        <v>63</v>
      </c>
      <c r="AR4" s="2" t="s">
        <v>63</v>
      </c>
      <c r="AS4" s="2" t="s">
        <v>311</v>
      </c>
    </row>
    <row r="5" spans="1:45" ht="90" x14ac:dyDescent="0.25">
      <c r="A5" s="2" t="s">
        <v>339</v>
      </c>
      <c r="B5" s="2" t="s">
        <v>9</v>
      </c>
      <c r="C5" s="2" t="s">
        <v>342</v>
      </c>
      <c r="D5" s="2" t="s">
        <v>18</v>
      </c>
      <c r="E5" s="2" t="s">
        <v>11</v>
      </c>
      <c r="F5" s="2" t="s">
        <v>19</v>
      </c>
      <c r="G5" s="2">
        <v>120</v>
      </c>
      <c r="H5" s="1">
        <v>20.52</v>
      </c>
      <c r="I5" s="1">
        <f t="shared" si="0"/>
        <v>0.17099999999999999</v>
      </c>
      <c r="J5" s="2" t="s">
        <v>12</v>
      </c>
      <c r="K5" s="2" t="s">
        <v>12</v>
      </c>
      <c r="L5" s="2" t="s">
        <v>13</v>
      </c>
      <c r="M5" s="3">
        <f>19285/120</f>
        <v>160.70833333333334</v>
      </c>
      <c r="N5" s="3">
        <f>Table13[[#This Row],[Doses per inhaler1,2]]*Table13[[#This Row],[Indicative carbon footprint /puff (g CO2e) 
Midpoint value7,8]]</f>
        <v>19285</v>
      </c>
      <c r="O5" s="10" t="s">
        <v>672</v>
      </c>
      <c r="P5" s="3">
        <v>112</v>
      </c>
      <c r="Q5" s="3">
        <f>Table13[[#This Row],[Indicative carbon footprint /puff (g CO2e) 
Midpoint value7,8]]*Table13[[#This Row],[Number of puffs per 28 days1-4]]</f>
        <v>17999.333333333336</v>
      </c>
      <c r="R5" s="3">
        <f>13*Table13[[#This Row],[Indicative carbon footprint per 28 days (g CO2e)]]</f>
        <v>233991.33333333337</v>
      </c>
      <c r="S5" s="3" t="str">
        <f>IF(Table13[[#This Row],[Indicative carbon footprint /puff (g CO2e) 
Midpoint value7,8]]&gt;=35,"High","Low")</f>
        <v>High</v>
      </c>
      <c r="T5" s="3"/>
      <c r="U5" s="1">
        <f>Table13[[#This Row],[Number of puffs per 28 days1-4]]*Table13[[#This Row],[Cost/puff 1,5-7]]</f>
        <v>19.151999999999997</v>
      </c>
      <c r="V5" s="1">
        <f>Table13[[#This Row],[Indicative cost per 28 days1,5]]*13</f>
        <v>248.97599999999997</v>
      </c>
      <c r="W5" s="1"/>
      <c r="X5" s="2" t="s">
        <v>14</v>
      </c>
      <c r="Y5" s="11" t="s">
        <v>210</v>
      </c>
      <c r="Z5" s="4" t="s">
        <v>22</v>
      </c>
      <c r="AA5" s="2" t="s">
        <v>16</v>
      </c>
      <c r="AC5" s="2" t="s">
        <v>5</v>
      </c>
      <c r="AD5" s="2" t="s">
        <v>21</v>
      </c>
      <c r="AE5" s="2" t="s">
        <v>63</v>
      </c>
      <c r="AF5" s="2" t="s">
        <v>63</v>
      </c>
      <c r="AG5" s="2" t="s">
        <v>63</v>
      </c>
      <c r="AH5" s="2" t="s">
        <v>63</v>
      </c>
      <c r="AI5" s="2" t="s">
        <v>63</v>
      </c>
      <c r="AJ5" s="2" t="s">
        <v>63</v>
      </c>
      <c r="AK5" s="2" t="s">
        <v>63</v>
      </c>
      <c r="AL5" s="2" t="s">
        <v>63</v>
      </c>
      <c r="AM5" s="2" t="s">
        <v>63</v>
      </c>
      <c r="AN5" s="2" t="s">
        <v>63</v>
      </c>
      <c r="AO5" s="2" t="s">
        <v>63</v>
      </c>
      <c r="AP5" s="2" t="s">
        <v>63</v>
      </c>
      <c r="AQ5" s="2" t="s">
        <v>63</v>
      </c>
      <c r="AR5" s="2" t="s">
        <v>63</v>
      </c>
      <c r="AS5" s="2" t="s">
        <v>311</v>
      </c>
    </row>
    <row r="6" spans="1:45" ht="33" x14ac:dyDescent="0.25">
      <c r="A6" s="2" t="s">
        <v>340</v>
      </c>
      <c r="B6" s="2" t="s">
        <v>23</v>
      </c>
      <c r="C6" s="2" t="s">
        <v>343</v>
      </c>
      <c r="D6" s="2" t="s">
        <v>24</v>
      </c>
      <c r="E6" s="2" t="s">
        <v>25</v>
      </c>
      <c r="F6" s="2" t="s">
        <v>19</v>
      </c>
      <c r="G6" s="2">
        <v>200</v>
      </c>
      <c r="H6" s="1">
        <v>1.97</v>
      </c>
      <c r="I6" s="1">
        <f t="shared" si="0"/>
        <v>9.8499999999999994E-3</v>
      </c>
      <c r="J6" s="2" t="s">
        <v>26</v>
      </c>
      <c r="K6" s="2" t="s">
        <v>27</v>
      </c>
      <c r="L6" s="2" t="s">
        <v>5</v>
      </c>
      <c r="M6" s="2">
        <v>48.6</v>
      </c>
      <c r="N6" s="2">
        <f>Table13[[#This Row],[Doses per inhaler1,2]]*Table13[[#This Row],[Indicative carbon footprint /puff (g CO2e) 
Midpoint value7,8]]</f>
        <v>9720</v>
      </c>
      <c r="O6" s="10" t="s">
        <v>672</v>
      </c>
      <c r="P6" s="3">
        <v>28</v>
      </c>
      <c r="Q6" s="3">
        <f>Table13[[#This Row],[Indicative carbon footprint /puff (g CO2e) 
Midpoint value7,8]]*Table13[[#This Row],[Number of puffs per 28 days1-4]]</f>
        <v>1360.8</v>
      </c>
      <c r="R6" s="3">
        <f>13*Table13[[#This Row],[Indicative carbon footprint per 28 days (g CO2e)]]</f>
        <v>17690.399999999998</v>
      </c>
      <c r="S6" s="3" t="str">
        <f>IF(Table13[[#This Row],[Indicative carbon footprint /puff (g CO2e) 
Midpoint value7,8]]&gt;=35,"High","Low")</f>
        <v>High</v>
      </c>
      <c r="T6" s="3"/>
      <c r="U6" s="1">
        <f>Table13[[#This Row],[Number of puffs per 28 days1-4]]*Table13[[#This Row],[Cost/puff 1,5-7]]</f>
        <v>0.27579999999999999</v>
      </c>
      <c r="V6" s="1">
        <f>Table13[[#This Row],[Indicative cost per 28 days1,5]]*13</f>
        <v>3.5853999999999999</v>
      </c>
      <c r="W6" s="1"/>
      <c r="X6" s="2" t="s">
        <v>7</v>
      </c>
      <c r="Y6" s="11" t="s">
        <v>210</v>
      </c>
      <c r="Z6" s="4" t="s">
        <v>28</v>
      </c>
      <c r="AC6" s="2" t="s">
        <v>29</v>
      </c>
      <c r="AD6" s="12" t="s">
        <v>63</v>
      </c>
      <c r="AE6" s="2" t="s">
        <v>63</v>
      </c>
      <c r="AF6" s="2" t="s">
        <v>63</v>
      </c>
      <c r="AG6" s="2" t="s">
        <v>63</v>
      </c>
      <c r="AH6" s="2" t="s">
        <v>63</v>
      </c>
      <c r="AI6" s="2" t="s">
        <v>63</v>
      </c>
      <c r="AJ6" s="2" t="s">
        <v>63</v>
      </c>
      <c r="AK6" s="2" t="s">
        <v>63</v>
      </c>
      <c r="AL6" s="2" t="s">
        <v>63</v>
      </c>
      <c r="AM6" s="2" t="s">
        <v>63</v>
      </c>
      <c r="AN6" s="2" t="s">
        <v>63</v>
      </c>
      <c r="AO6" s="2" t="s">
        <v>63</v>
      </c>
      <c r="AP6" s="2" t="s">
        <v>63</v>
      </c>
      <c r="AQ6" s="2" t="s">
        <v>63</v>
      </c>
      <c r="AR6" s="2" t="s">
        <v>63</v>
      </c>
      <c r="AS6" s="2" t="s">
        <v>558</v>
      </c>
    </row>
    <row r="7" spans="1:45" ht="45" x14ac:dyDescent="0.25">
      <c r="A7" s="2" t="s">
        <v>344</v>
      </c>
      <c r="B7" s="2" t="s">
        <v>23</v>
      </c>
      <c r="C7" s="2" t="s">
        <v>343</v>
      </c>
      <c r="D7" s="2" t="s">
        <v>24</v>
      </c>
      <c r="E7" s="2" t="s">
        <v>25</v>
      </c>
      <c r="F7" s="2" t="s">
        <v>150</v>
      </c>
      <c r="G7" s="2">
        <v>200</v>
      </c>
      <c r="H7" s="1">
        <v>6.02</v>
      </c>
      <c r="I7" s="1">
        <f t="shared" si="0"/>
        <v>3.0099999999999998E-2</v>
      </c>
      <c r="J7" s="2" t="s">
        <v>26</v>
      </c>
      <c r="K7" s="2" t="s">
        <v>27</v>
      </c>
      <c r="L7" s="2" t="s">
        <v>5</v>
      </c>
      <c r="M7" s="2">
        <v>48.6</v>
      </c>
      <c r="N7" s="2">
        <f>Table13[[#This Row],[Doses per inhaler1,2]]*Table13[[#This Row],[Indicative carbon footprint /puff (g CO2e) 
Midpoint value7,8]]</f>
        <v>9720</v>
      </c>
      <c r="O7" s="10" t="s">
        <v>672</v>
      </c>
      <c r="P7" s="3">
        <v>28</v>
      </c>
      <c r="Q7" s="3">
        <f>Table13[[#This Row],[Indicative carbon footprint /puff (g CO2e) 
Midpoint value7,8]]*Table13[[#This Row],[Number of puffs per 28 days1-4]]</f>
        <v>1360.8</v>
      </c>
      <c r="R7" s="3">
        <f>13*Table13[[#This Row],[Indicative carbon footprint per 28 days (g CO2e)]]</f>
        <v>17690.399999999998</v>
      </c>
      <c r="S7" s="3" t="str">
        <f>IF(Table13[[#This Row],[Indicative carbon footprint /puff (g CO2e) 
Midpoint value7,8]]&gt;=35,"High","Low")</f>
        <v>High</v>
      </c>
      <c r="T7" s="3"/>
      <c r="U7" s="1">
        <f>Table13[[#This Row],[Number of puffs per 28 days1-4]]*Table13[[#This Row],[Cost/puff 1,5-7]]</f>
        <v>0.84279999999999999</v>
      </c>
      <c r="V7" s="1">
        <f>Table13[[#This Row],[Indicative cost per 28 days1,5]]*13</f>
        <v>10.9564</v>
      </c>
      <c r="W7" s="1"/>
      <c r="X7" s="2" t="s">
        <v>7</v>
      </c>
      <c r="Y7" s="11" t="s">
        <v>210</v>
      </c>
      <c r="Z7" s="4" t="s">
        <v>31</v>
      </c>
      <c r="AC7" s="2" t="s">
        <v>29</v>
      </c>
      <c r="AD7" s="12" t="s">
        <v>63</v>
      </c>
      <c r="AE7" s="2" t="s">
        <v>63</v>
      </c>
      <c r="AF7" s="2" t="s">
        <v>63</v>
      </c>
      <c r="AG7" s="2" t="s">
        <v>63</v>
      </c>
      <c r="AH7" s="2" t="s">
        <v>63</v>
      </c>
      <c r="AI7" s="2" t="s">
        <v>63</v>
      </c>
      <c r="AJ7" s="2" t="s">
        <v>63</v>
      </c>
      <c r="AK7" s="2" t="s">
        <v>63</v>
      </c>
      <c r="AL7" s="2" t="s">
        <v>63</v>
      </c>
      <c r="AM7" s="2" t="s">
        <v>63</v>
      </c>
      <c r="AN7" s="2" t="s">
        <v>63</v>
      </c>
      <c r="AO7" s="2" t="s">
        <v>63</v>
      </c>
      <c r="AP7" s="2" t="s">
        <v>63</v>
      </c>
      <c r="AQ7" s="2" t="s">
        <v>63</v>
      </c>
      <c r="AR7" s="2" t="s">
        <v>63</v>
      </c>
      <c r="AS7" s="2" t="s">
        <v>558</v>
      </c>
    </row>
    <row r="8" spans="1:45" ht="30" x14ac:dyDescent="0.25">
      <c r="A8" s="2" t="s">
        <v>345</v>
      </c>
      <c r="B8" s="2" t="s">
        <v>32</v>
      </c>
      <c r="C8" s="2" t="s">
        <v>341</v>
      </c>
      <c r="D8" s="2" t="s">
        <v>18</v>
      </c>
      <c r="E8" s="2" t="s">
        <v>11</v>
      </c>
      <c r="F8" s="2" t="s">
        <v>19</v>
      </c>
      <c r="G8" s="2">
        <v>120</v>
      </c>
      <c r="H8" s="1">
        <v>22.45</v>
      </c>
      <c r="I8" s="1">
        <f t="shared" si="0"/>
        <v>0.18708333333333332</v>
      </c>
      <c r="J8" s="2" t="s">
        <v>12</v>
      </c>
      <c r="K8" s="2" t="s">
        <v>12</v>
      </c>
      <c r="L8" s="2" t="s">
        <v>13</v>
      </c>
      <c r="M8" s="2">
        <v>163.5</v>
      </c>
      <c r="N8" s="2">
        <f>Table13[[#This Row],[Doses per inhaler1,2]]*Table13[[#This Row],[Indicative carbon footprint /puff (g CO2e) 
Midpoint value7,8]]</f>
        <v>19620</v>
      </c>
      <c r="O8" s="10" t="s">
        <v>676</v>
      </c>
      <c r="P8" s="3">
        <v>112</v>
      </c>
      <c r="Q8" s="3">
        <f>Table13[[#This Row],[Indicative carbon footprint /puff (g CO2e) 
Midpoint value7,8]]*Table13[[#This Row],[Number of puffs per 28 days1-4]]</f>
        <v>18312</v>
      </c>
      <c r="R8" s="3">
        <f>13*Table13[[#This Row],[Indicative carbon footprint per 28 days (g CO2e)]]</f>
        <v>238056</v>
      </c>
      <c r="S8" s="3" t="str">
        <f>IF(Table13[[#This Row],[Indicative carbon footprint /puff (g CO2e) 
Midpoint value7,8]]&gt;=35,"High","Low")</f>
        <v>High</v>
      </c>
      <c r="T8" s="3"/>
      <c r="U8" s="1">
        <f>Table13[[#This Row],[Number of puffs per 28 days1-4]]*Table13[[#This Row],[Cost/puff 1,5-7]]</f>
        <v>20.953333333333333</v>
      </c>
      <c r="V8" s="1">
        <f>Table13[[#This Row],[Indicative cost per 28 days1,5]]*13</f>
        <v>272.39333333333332</v>
      </c>
      <c r="W8" s="1"/>
      <c r="X8" s="2" t="s">
        <v>7</v>
      </c>
      <c r="Y8" s="11" t="s">
        <v>210</v>
      </c>
      <c r="Z8" s="4" t="s">
        <v>33</v>
      </c>
      <c r="AD8" s="12" t="s">
        <v>63</v>
      </c>
      <c r="AE8" s="2" t="s">
        <v>63</v>
      </c>
      <c r="AF8" s="2" t="s">
        <v>63</v>
      </c>
      <c r="AG8" s="2" t="s">
        <v>63</v>
      </c>
      <c r="AH8" s="2" t="s">
        <v>63</v>
      </c>
      <c r="AI8" s="2" t="s">
        <v>63</v>
      </c>
      <c r="AJ8" s="2" t="s">
        <v>63</v>
      </c>
      <c r="AK8" s="2" t="s">
        <v>63</v>
      </c>
      <c r="AL8" s="2" t="s">
        <v>63</v>
      </c>
      <c r="AM8" s="2" t="s">
        <v>63</v>
      </c>
      <c r="AN8" s="2" t="s">
        <v>63</v>
      </c>
      <c r="AO8" s="2" t="s">
        <v>63</v>
      </c>
      <c r="AP8" s="2" t="s">
        <v>63</v>
      </c>
      <c r="AQ8" s="2" t="s">
        <v>63</v>
      </c>
      <c r="AR8" s="2" t="s">
        <v>63</v>
      </c>
      <c r="AS8" s="2" t="s">
        <v>311</v>
      </c>
    </row>
    <row r="9" spans="1:45" ht="30" x14ac:dyDescent="0.25">
      <c r="A9" s="2" t="s">
        <v>346</v>
      </c>
      <c r="B9" s="2" t="s">
        <v>32</v>
      </c>
      <c r="C9" s="2" t="s">
        <v>342</v>
      </c>
      <c r="D9" s="2" t="s">
        <v>18</v>
      </c>
      <c r="E9" s="2" t="s">
        <v>11</v>
      </c>
      <c r="F9" s="2" t="s">
        <v>19</v>
      </c>
      <c r="G9" s="2">
        <v>120</v>
      </c>
      <c r="H9" s="1">
        <v>28.32</v>
      </c>
      <c r="I9" s="1">
        <f t="shared" si="0"/>
        <v>0.23600000000000002</v>
      </c>
      <c r="J9" s="2" t="s">
        <v>12</v>
      </c>
      <c r="K9" s="2" t="s">
        <v>12</v>
      </c>
      <c r="L9" s="2" t="s">
        <v>13</v>
      </c>
      <c r="M9" s="2">
        <v>163.5</v>
      </c>
      <c r="N9" s="2">
        <f>Table13[[#This Row],[Doses per inhaler1,2]]*Table13[[#This Row],[Indicative carbon footprint /puff (g CO2e) 
Midpoint value7,8]]</f>
        <v>19620</v>
      </c>
      <c r="O9" s="10" t="s">
        <v>676</v>
      </c>
      <c r="P9" s="3">
        <v>112</v>
      </c>
      <c r="Q9" s="3">
        <f>Table13[[#This Row],[Indicative carbon footprint /puff (g CO2e) 
Midpoint value7,8]]*Table13[[#This Row],[Number of puffs per 28 days1-4]]</f>
        <v>18312</v>
      </c>
      <c r="R9" s="3">
        <f>13*Table13[[#This Row],[Indicative carbon footprint per 28 days (g CO2e)]]</f>
        <v>238056</v>
      </c>
      <c r="S9" s="3" t="str">
        <f>IF(Table13[[#This Row],[Indicative carbon footprint /puff (g CO2e) 
Midpoint value7,8]]&gt;=35,"High","Low")</f>
        <v>High</v>
      </c>
      <c r="T9" s="3"/>
      <c r="U9" s="1">
        <f>Table13[[#This Row],[Number of puffs per 28 days1-4]]*Table13[[#This Row],[Cost/puff 1,5-7]]</f>
        <v>26.432000000000002</v>
      </c>
      <c r="V9" s="1">
        <f>Table13[[#This Row],[Indicative cost per 28 days1,5]]*13</f>
        <v>343.61600000000004</v>
      </c>
      <c r="W9" s="1"/>
      <c r="X9" s="2" t="s">
        <v>7</v>
      </c>
      <c r="Y9" s="11" t="s">
        <v>210</v>
      </c>
      <c r="Z9" s="4" t="s">
        <v>34</v>
      </c>
      <c r="AD9" s="12" t="s">
        <v>63</v>
      </c>
      <c r="AE9" s="2" t="s">
        <v>63</v>
      </c>
      <c r="AF9" s="2" t="s">
        <v>63</v>
      </c>
      <c r="AG9" s="2" t="s">
        <v>63</v>
      </c>
      <c r="AH9" s="2" t="s">
        <v>63</v>
      </c>
      <c r="AI9" s="2" t="s">
        <v>63</v>
      </c>
      <c r="AJ9" s="2" t="s">
        <v>63</v>
      </c>
      <c r="AK9" s="2" t="s">
        <v>63</v>
      </c>
      <c r="AL9" s="2" t="s">
        <v>63</v>
      </c>
      <c r="AM9" s="2" t="s">
        <v>63</v>
      </c>
      <c r="AN9" s="2" t="s">
        <v>63</v>
      </c>
      <c r="AO9" s="2" t="s">
        <v>63</v>
      </c>
      <c r="AP9" s="2" t="s">
        <v>63</v>
      </c>
      <c r="AQ9" s="2" t="s">
        <v>63</v>
      </c>
      <c r="AR9" s="2" t="s">
        <v>63</v>
      </c>
      <c r="AS9" s="2" t="s">
        <v>311</v>
      </c>
    </row>
    <row r="10" spans="1:45" ht="15.75" x14ac:dyDescent="0.25">
      <c r="A10" s="2" t="s">
        <v>347</v>
      </c>
      <c r="B10" s="2" t="s">
        <v>673</v>
      </c>
      <c r="C10" s="2" t="s">
        <v>348</v>
      </c>
      <c r="D10" s="2" t="s">
        <v>18</v>
      </c>
      <c r="E10" s="2" t="s">
        <v>36</v>
      </c>
      <c r="F10" s="2" t="s">
        <v>19</v>
      </c>
      <c r="G10" s="2">
        <v>120</v>
      </c>
      <c r="H10" s="1">
        <v>38.619999999999997</v>
      </c>
      <c r="I10" s="1">
        <f t="shared" si="0"/>
        <v>0.3218333333333333</v>
      </c>
      <c r="J10" s="2" t="s">
        <v>37</v>
      </c>
      <c r="K10" s="2" t="s">
        <v>37</v>
      </c>
      <c r="L10" s="2" t="s">
        <v>5</v>
      </c>
      <c r="M10" s="2">
        <v>101.75</v>
      </c>
      <c r="N10" s="2">
        <f>Table13[[#This Row],[Doses per inhaler1,2]]*Table13[[#This Row],[Indicative carbon footprint /puff (g CO2e) 
Midpoint value7,8]]</f>
        <v>12210</v>
      </c>
      <c r="O10" s="10" t="s">
        <v>676</v>
      </c>
      <c r="P10" s="3">
        <v>28</v>
      </c>
      <c r="Q10" s="3">
        <f>Table13[[#This Row],[Indicative carbon footprint /puff (g CO2e) 
Midpoint value7,8]]*Table13[[#This Row],[Number of puffs per 28 days1-4]]</f>
        <v>2849</v>
      </c>
      <c r="R10" s="3">
        <f>13*Table13[[#This Row],[Indicative carbon footprint per 28 days (g CO2e)]]</f>
        <v>37037</v>
      </c>
      <c r="S10" s="3" t="str">
        <f>IF(Table13[[#This Row],[Indicative carbon footprint /puff (g CO2e) 
Midpoint value7,8]]&gt;=35,"High","Low")</f>
        <v>High</v>
      </c>
      <c r="T10" s="3"/>
      <c r="U10" s="1">
        <f>Table13[[#This Row],[Number of puffs per 28 days1-4]]*Table13[[#This Row],[Cost/puff 1,5-7]]</f>
        <v>9.011333333333333</v>
      </c>
      <c r="V10" s="1">
        <f>Table13[[#This Row],[Indicative cost per 28 days1,5]]*13</f>
        <v>117.14733333333334</v>
      </c>
      <c r="W10" s="1" t="s">
        <v>331</v>
      </c>
      <c r="X10" s="2" t="s">
        <v>7</v>
      </c>
      <c r="Y10" s="11" t="s">
        <v>210</v>
      </c>
      <c r="Z10" s="4" t="s">
        <v>38</v>
      </c>
      <c r="AD10" s="12" t="s">
        <v>63</v>
      </c>
      <c r="AE10" s="2" t="s">
        <v>63</v>
      </c>
      <c r="AF10" s="2" t="s">
        <v>63</v>
      </c>
      <c r="AG10" s="2" t="s">
        <v>63</v>
      </c>
      <c r="AH10" s="2" t="s">
        <v>63</v>
      </c>
      <c r="AI10" s="2" t="s">
        <v>63</v>
      </c>
      <c r="AJ10" s="2" t="s">
        <v>63</v>
      </c>
      <c r="AK10" s="2" t="s">
        <v>63</v>
      </c>
      <c r="AL10" s="2" t="s">
        <v>63</v>
      </c>
      <c r="AM10" s="2" t="s">
        <v>63</v>
      </c>
      <c r="AN10" s="2" t="s">
        <v>63</v>
      </c>
      <c r="AO10" s="2" t="s">
        <v>63</v>
      </c>
      <c r="AP10" s="2" t="s">
        <v>63</v>
      </c>
      <c r="AQ10" s="2" t="s">
        <v>63</v>
      </c>
      <c r="AR10" s="2" t="s">
        <v>63</v>
      </c>
      <c r="AS10" s="2" t="s">
        <v>312</v>
      </c>
    </row>
    <row r="11" spans="1:45" ht="15.75" x14ac:dyDescent="0.25">
      <c r="A11" s="2" t="s">
        <v>347</v>
      </c>
      <c r="B11" s="2" t="s">
        <v>673</v>
      </c>
      <c r="C11" s="2" t="s">
        <v>348</v>
      </c>
      <c r="D11" s="2" t="s">
        <v>18</v>
      </c>
      <c r="E11" s="2" t="s">
        <v>36</v>
      </c>
      <c r="F11" s="2" t="s">
        <v>19</v>
      </c>
      <c r="G11" s="2">
        <v>60</v>
      </c>
      <c r="H11" s="1">
        <v>19.309999999999999</v>
      </c>
      <c r="I11" s="1">
        <f t="shared" si="0"/>
        <v>0.3218333333333333</v>
      </c>
      <c r="J11" s="2" t="s">
        <v>37</v>
      </c>
      <c r="K11" s="2" t="s">
        <v>37</v>
      </c>
      <c r="L11" s="2" t="s">
        <v>5</v>
      </c>
      <c r="M11" s="2">
        <v>101.75</v>
      </c>
      <c r="N11" s="2">
        <v>6105</v>
      </c>
      <c r="O11" s="10" t="s">
        <v>676</v>
      </c>
      <c r="P11" s="3">
        <v>28</v>
      </c>
      <c r="Q11" s="3">
        <f>Table13[[#This Row],[Indicative carbon footprint /puff (g CO2e) 
Midpoint value7,8]]*Table13[[#This Row],[Number of puffs per 28 days1-4]]</f>
        <v>2849</v>
      </c>
      <c r="R11" s="3">
        <f>13*Table13[[#This Row],[Indicative carbon footprint per 28 days (g CO2e)]]</f>
        <v>37037</v>
      </c>
      <c r="S11" s="3" t="str">
        <f>IF(Table13[[#This Row],[Indicative carbon footprint /puff (g CO2e) 
Midpoint value7,8]]&gt;=35,"High","Low")</f>
        <v>High</v>
      </c>
      <c r="T11" s="3"/>
      <c r="U11" s="1">
        <f>Table13[[#This Row],[Number of puffs per 28 days1-4]]*Table13[[#This Row],[Cost/puff 1,5-7]]</f>
        <v>9.011333333333333</v>
      </c>
      <c r="V11" s="1">
        <f>Table13[[#This Row],[Indicative cost per 28 days1,5]]*13</f>
        <v>117.14733333333334</v>
      </c>
      <c r="W11" s="1" t="s">
        <v>331</v>
      </c>
      <c r="X11" s="2" t="s">
        <v>7</v>
      </c>
      <c r="Y11" s="11" t="s">
        <v>210</v>
      </c>
      <c r="Z11" s="4" t="s">
        <v>332</v>
      </c>
      <c r="AD11" s="12" t="s">
        <v>63</v>
      </c>
      <c r="AE11" s="2" t="s">
        <v>63</v>
      </c>
      <c r="AF11" s="2" t="s">
        <v>63</v>
      </c>
      <c r="AG11" s="2" t="s">
        <v>63</v>
      </c>
      <c r="AH11" s="2" t="s">
        <v>63</v>
      </c>
      <c r="AI11" s="2" t="s">
        <v>63</v>
      </c>
      <c r="AJ11" s="2" t="s">
        <v>63</v>
      </c>
      <c r="AK11" s="2" t="s">
        <v>63</v>
      </c>
      <c r="AL11" s="2" t="s">
        <v>63</v>
      </c>
      <c r="AM11" s="2" t="s">
        <v>63</v>
      </c>
      <c r="AN11" s="2" t="s">
        <v>63</v>
      </c>
      <c r="AO11" s="2" t="s">
        <v>63</v>
      </c>
      <c r="AP11" s="2" t="s">
        <v>63</v>
      </c>
      <c r="AQ11" s="2" t="s">
        <v>63</v>
      </c>
      <c r="AR11" s="2" t="s">
        <v>63</v>
      </c>
      <c r="AS11" s="2" t="s">
        <v>312</v>
      </c>
    </row>
    <row r="12" spans="1:45" ht="15.75" x14ac:dyDescent="0.25">
      <c r="A12" s="2" t="s">
        <v>349</v>
      </c>
      <c r="C12" s="2" t="s">
        <v>350</v>
      </c>
      <c r="D12" s="2" t="s">
        <v>18</v>
      </c>
      <c r="E12" s="2" t="s">
        <v>36</v>
      </c>
      <c r="F12" s="2" t="s">
        <v>19</v>
      </c>
      <c r="G12" s="2">
        <v>120</v>
      </c>
      <c r="H12" s="1">
        <v>32.83</v>
      </c>
      <c r="I12" s="1">
        <f t="shared" si="0"/>
        <v>0.27358333333333335</v>
      </c>
      <c r="J12" s="2" t="s">
        <v>37</v>
      </c>
      <c r="K12" s="2" t="s">
        <v>37</v>
      </c>
      <c r="L12" s="2" t="s">
        <v>5</v>
      </c>
      <c r="M12" s="2">
        <v>101.75</v>
      </c>
      <c r="N12" s="2">
        <f>Table13[[#This Row],[Doses per inhaler1,2]]*Table13[[#This Row],[Indicative carbon footprint /puff (g CO2e) 
Midpoint value7,8]]</f>
        <v>12210</v>
      </c>
      <c r="O12" s="10" t="s">
        <v>676</v>
      </c>
      <c r="P12" s="3">
        <v>28</v>
      </c>
      <c r="Q12" s="29">
        <f>Table13[[#This Row],[Indicative carbon footprint /puff (g CO2e) 
Midpoint value7,8]]*Table13[[#This Row],[Number of puffs per 28 days1-4]]</f>
        <v>2849</v>
      </c>
      <c r="R12" s="29">
        <f>13*Table13[[#This Row],[Indicative carbon footprint per 28 days (g CO2e)]]</f>
        <v>37037</v>
      </c>
      <c r="S12" s="31" t="str">
        <f>IF(Table13[[#This Row],[Indicative carbon footprint /puff (g CO2e) 
Midpoint value7,8]]&gt;=35,"High","Low")</f>
        <v>High</v>
      </c>
      <c r="T12" s="31"/>
      <c r="U12" s="1">
        <f>Table13[[#This Row],[Number of puffs per 28 days1-4]]*Table13[[#This Row],[Cost/puff 1,5-7]]</f>
        <v>7.6603333333333339</v>
      </c>
      <c r="V12" s="1">
        <f>Table13[[#This Row],[Indicative cost per 28 days1,5]]*13</f>
        <v>99.584333333333348</v>
      </c>
      <c r="W12" s="1" t="s">
        <v>331</v>
      </c>
      <c r="X12" s="2" t="s">
        <v>7</v>
      </c>
      <c r="Y12" s="11" t="s">
        <v>210</v>
      </c>
      <c r="Z12" s="4" t="s">
        <v>39</v>
      </c>
      <c r="AD12" s="12" t="s">
        <v>63</v>
      </c>
      <c r="AE12" s="2" t="s">
        <v>63</v>
      </c>
      <c r="AF12" s="2" t="s">
        <v>63</v>
      </c>
      <c r="AG12" s="2" t="s">
        <v>63</v>
      </c>
      <c r="AH12" s="2" t="s">
        <v>63</v>
      </c>
      <c r="AI12" s="2" t="s">
        <v>63</v>
      </c>
      <c r="AJ12" s="2" t="s">
        <v>63</v>
      </c>
      <c r="AK12" s="2" t="s">
        <v>63</v>
      </c>
      <c r="AL12" s="2" t="s">
        <v>63</v>
      </c>
      <c r="AM12" s="2" t="s">
        <v>63</v>
      </c>
      <c r="AN12" s="2" t="s">
        <v>63</v>
      </c>
      <c r="AO12" s="2" t="s">
        <v>63</v>
      </c>
      <c r="AP12" s="2" t="s">
        <v>63</v>
      </c>
      <c r="AQ12" s="2" t="s">
        <v>63</v>
      </c>
      <c r="AR12" s="2" t="s">
        <v>63</v>
      </c>
      <c r="AS12" s="2" t="s">
        <v>312</v>
      </c>
    </row>
    <row r="13" spans="1:45" ht="105" x14ac:dyDescent="0.25">
      <c r="A13" s="2" t="s">
        <v>40</v>
      </c>
      <c r="B13" s="2" t="s">
        <v>41</v>
      </c>
      <c r="C13" s="2" t="s">
        <v>42</v>
      </c>
      <c r="D13" s="2" t="s">
        <v>43</v>
      </c>
      <c r="E13" s="2" t="s">
        <v>44</v>
      </c>
      <c r="F13" s="2" t="s">
        <v>6</v>
      </c>
      <c r="G13" s="2">
        <v>30</v>
      </c>
      <c r="H13" s="1">
        <v>32.5</v>
      </c>
      <c r="I13" s="1">
        <f t="shared" si="0"/>
        <v>1.0833333333333333</v>
      </c>
      <c r="J13" s="2" t="s">
        <v>12</v>
      </c>
      <c r="K13" s="2" t="s">
        <v>12</v>
      </c>
      <c r="L13" s="2" t="s">
        <v>5</v>
      </c>
      <c r="M13" s="2">
        <v>24</v>
      </c>
      <c r="N13" s="2">
        <v>747</v>
      </c>
      <c r="O13" s="10" t="s">
        <v>671</v>
      </c>
      <c r="P13" s="3">
        <v>28</v>
      </c>
      <c r="Q13" s="3">
        <f>Table13[[#This Row],[Indicative carbon footprint /puff (g CO2e) 
Midpoint value7,8]]*Table13[[#This Row],[Number of puffs per 28 days1-4]]</f>
        <v>672</v>
      </c>
      <c r="R13" s="3">
        <f>13*Table13[[#This Row],[Indicative carbon footprint per 28 days (g CO2e)]]</f>
        <v>8736</v>
      </c>
      <c r="S13" s="3" t="str">
        <f>IF(Table13[[#This Row],[Indicative carbon footprint /puff (g CO2e) 
Midpoint value7,8]]&gt;=35,"High","Low")</f>
        <v>Low</v>
      </c>
      <c r="T13" s="3"/>
      <c r="U13" s="1">
        <f>Table13[[#This Row],[Number of puffs per 28 days1-4]]*Table13[[#This Row],[Cost/puff 1,5-7]]</f>
        <v>30.333333333333332</v>
      </c>
      <c r="V13" s="1">
        <f>Table13[[#This Row],[Indicative cost per 28 days1,5]]*13</f>
        <v>394.33333333333331</v>
      </c>
      <c r="W13" s="1"/>
      <c r="X13" s="2" t="s">
        <v>14</v>
      </c>
      <c r="Y13" s="2" t="s">
        <v>5</v>
      </c>
      <c r="Z13" s="4" t="s">
        <v>688</v>
      </c>
      <c r="AA13" s="2" t="s">
        <v>45</v>
      </c>
      <c r="AB13" s="2" t="s">
        <v>17</v>
      </c>
      <c r="AC13" s="2" t="s">
        <v>5</v>
      </c>
      <c r="AD13" s="2" t="s">
        <v>46</v>
      </c>
      <c r="AE13" s="2">
        <v>5</v>
      </c>
      <c r="AF13" s="2">
        <v>235</v>
      </c>
      <c r="AG13" s="2" t="s">
        <v>515</v>
      </c>
      <c r="AH13" s="2" t="s">
        <v>322</v>
      </c>
      <c r="AI13" s="2">
        <v>366</v>
      </c>
      <c r="AJ13" s="2" t="s">
        <v>516</v>
      </c>
      <c r="AK13" s="2" t="s">
        <v>516</v>
      </c>
      <c r="AL13" s="2">
        <v>29</v>
      </c>
      <c r="AM13" s="2">
        <v>60</v>
      </c>
      <c r="AN13" s="2">
        <v>52</v>
      </c>
      <c r="AO13" s="2" t="s">
        <v>63</v>
      </c>
      <c r="AP13" s="2" t="s">
        <v>5</v>
      </c>
      <c r="AQ13" s="2" t="s">
        <v>5</v>
      </c>
      <c r="AR13" s="2" t="s">
        <v>47</v>
      </c>
      <c r="AS13" s="10" t="s">
        <v>310</v>
      </c>
    </row>
    <row r="14" spans="1:45" ht="30" x14ac:dyDescent="0.25">
      <c r="A14" s="2" t="s">
        <v>351</v>
      </c>
      <c r="B14" s="2" t="s">
        <v>48</v>
      </c>
      <c r="C14" s="2" t="s">
        <v>352</v>
      </c>
      <c r="D14" s="2" t="s">
        <v>18</v>
      </c>
      <c r="E14" s="2" t="s">
        <v>36</v>
      </c>
      <c r="F14" s="2" t="s">
        <v>6</v>
      </c>
      <c r="G14" s="2">
        <v>60</v>
      </c>
      <c r="H14" s="1">
        <v>23.54</v>
      </c>
      <c r="I14" s="1">
        <f t="shared" si="0"/>
        <v>0.39233333333333331</v>
      </c>
      <c r="J14" s="2" t="s">
        <v>37</v>
      </c>
      <c r="K14" s="2" t="s">
        <v>37</v>
      </c>
      <c r="L14" s="2" t="s">
        <v>5</v>
      </c>
      <c r="M14" s="2">
        <v>18.75</v>
      </c>
      <c r="N14" s="2">
        <f>Table13[[#This Row],[Doses per inhaler1,2]]*Table13[[#This Row],[Indicative carbon footprint /puff (g CO2e) 
Midpoint value7,8]]</f>
        <v>1125</v>
      </c>
      <c r="O14" s="10" t="s">
        <v>675</v>
      </c>
      <c r="P14" s="3">
        <v>56</v>
      </c>
      <c r="Q14" s="29">
        <f>Table13[[#This Row],[Indicative carbon footprint /puff (g CO2e) 
Midpoint value7,8]]*Table13[[#This Row],[Number of puffs per 28 days1-4]]</f>
        <v>1050</v>
      </c>
      <c r="R14" s="3">
        <f>13*Table13[[#This Row],[Indicative carbon footprint per 28 days (g CO2e)]]</f>
        <v>13650</v>
      </c>
      <c r="S14" s="3" t="str">
        <f>IF(Table13[[#This Row],[Indicative carbon footprint /puff (g CO2e) 
Midpoint value7,8]]&gt;=35,"High","Low")</f>
        <v>Low</v>
      </c>
      <c r="T14" s="3"/>
      <c r="U14" s="1">
        <f>Table13[[#This Row],[Number of puffs per 28 days1-4]]*Table13[[#This Row],[Cost/puff 1,5-7]]</f>
        <v>21.970666666666666</v>
      </c>
      <c r="V14" s="1">
        <f>Table13[[#This Row],[Indicative cost per 28 days1,5]]*13</f>
        <v>285.61866666666668</v>
      </c>
      <c r="W14" s="32"/>
      <c r="X14" s="2" t="s">
        <v>7</v>
      </c>
      <c r="Y14" s="2" t="s">
        <v>5</v>
      </c>
      <c r="Z14" s="4" t="s">
        <v>49</v>
      </c>
      <c r="AB14" s="2" t="s">
        <v>17</v>
      </c>
      <c r="AD14" s="2" t="s">
        <v>63</v>
      </c>
      <c r="AE14" s="2" t="s">
        <v>63</v>
      </c>
      <c r="AF14" s="2" t="s">
        <v>63</v>
      </c>
      <c r="AG14" s="2" t="s">
        <v>63</v>
      </c>
      <c r="AH14" s="2" t="s">
        <v>63</v>
      </c>
      <c r="AI14" s="2" t="s">
        <v>63</v>
      </c>
      <c r="AJ14" s="2" t="s">
        <v>63</v>
      </c>
      <c r="AK14" s="2" t="s">
        <v>63</v>
      </c>
      <c r="AL14" s="2" t="s">
        <v>63</v>
      </c>
      <c r="AM14" s="2" t="s">
        <v>63</v>
      </c>
      <c r="AN14" s="2" t="s">
        <v>63</v>
      </c>
      <c r="AO14" s="2" t="s">
        <v>63</v>
      </c>
      <c r="AP14" s="2" t="s">
        <v>63</v>
      </c>
      <c r="AQ14" s="2" t="s">
        <v>63</v>
      </c>
      <c r="AR14" s="2" t="s">
        <v>50</v>
      </c>
      <c r="AS14" s="2" t="s">
        <v>310</v>
      </c>
    </row>
    <row r="15" spans="1:45" ht="30" x14ac:dyDescent="0.25">
      <c r="A15" s="2" t="s">
        <v>351</v>
      </c>
      <c r="B15" s="2" t="s">
        <v>48</v>
      </c>
      <c r="C15" s="2" t="s">
        <v>352</v>
      </c>
      <c r="D15" s="2" t="s">
        <v>18</v>
      </c>
      <c r="E15" s="2" t="s">
        <v>36</v>
      </c>
      <c r="F15" s="2" t="s">
        <v>6</v>
      </c>
      <c r="G15" s="2">
        <v>30</v>
      </c>
      <c r="H15" s="1">
        <v>15.7</v>
      </c>
      <c r="I15" s="1">
        <f t="shared" si="0"/>
        <v>0.52333333333333332</v>
      </c>
      <c r="J15" s="2" t="s">
        <v>37</v>
      </c>
      <c r="K15" s="2" t="s">
        <v>37</v>
      </c>
      <c r="L15" s="2" t="s">
        <v>5</v>
      </c>
      <c r="M15" s="2">
        <v>18.75</v>
      </c>
      <c r="N15" s="2">
        <f>Table13[[#This Row],[Doses per inhaler1,2]]*Table13[[#This Row],[Indicative carbon footprint /puff (g CO2e) 
Midpoint value7,8]]</f>
        <v>562.5</v>
      </c>
      <c r="O15" s="10" t="s">
        <v>675</v>
      </c>
      <c r="P15" s="3">
        <v>56</v>
      </c>
      <c r="Q15" s="29">
        <f>Table13[[#This Row],[Indicative carbon footprint /puff (g CO2e) 
Midpoint value7,8]]*Table13[[#This Row],[Number of puffs per 28 days1-4]]</f>
        <v>1050</v>
      </c>
      <c r="R15" s="29">
        <f>13*Table13[[#This Row],[Indicative carbon footprint per 28 days (g CO2e)]]</f>
        <v>13650</v>
      </c>
      <c r="S15" s="3" t="str">
        <f>IF(Table13[[#This Row],[Indicative carbon footprint /puff (g CO2e) 
Midpoint value7,8]]&gt;=35,"High","Low")</f>
        <v>Low</v>
      </c>
      <c r="T15" s="3"/>
      <c r="U15" s="1">
        <f>Table13[[#This Row],[Number of puffs per 28 days1-4]]*Table13[[#This Row],[Cost/puff 1,5-7]]</f>
        <v>29.306666666666665</v>
      </c>
      <c r="V15" s="1">
        <f>Table13[[#This Row],[Indicative cost per 28 days1,5]]*13</f>
        <v>380.98666666666662</v>
      </c>
      <c r="W15" s="32"/>
      <c r="X15" s="2" t="s">
        <v>7</v>
      </c>
      <c r="Y15" s="2" t="s">
        <v>5</v>
      </c>
      <c r="Z15" s="4" t="s">
        <v>51</v>
      </c>
      <c r="AB15" s="2" t="s">
        <v>17</v>
      </c>
      <c r="AD15" s="2" t="s">
        <v>63</v>
      </c>
      <c r="AE15" s="2" t="s">
        <v>63</v>
      </c>
      <c r="AF15" s="2" t="s">
        <v>63</v>
      </c>
      <c r="AG15" s="2" t="s">
        <v>63</v>
      </c>
      <c r="AH15" s="2" t="s">
        <v>63</v>
      </c>
      <c r="AI15" s="2" t="s">
        <v>63</v>
      </c>
      <c r="AJ15" s="2" t="s">
        <v>63</v>
      </c>
      <c r="AK15" s="2" t="s">
        <v>63</v>
      </c>
      <c r="AL15" s="2" t="s">
        <v>63</v>
      </c>
      <c r="AM15" s="2" t="s">
        <v>63</v>
      </c>
      <c r="AN15" s="2" t="s">
        <v>63</v>
      </c>
      <c r="AO15" s="2" t="s">
        <v>63</v>
      </c>
      <c r="AP15" s="2" t="s">
        <v>63</v>
      </c>
      <c r="AQ15" s="2" t="s">
        <v>63</v>
      </c>
      <c r="AR15" s="2" t="s">
        <v>50</v>
      </c>
      <c r="AS15" s="2" t="s">
        <v>310</v>
      </c>
    </row>
    <row r="16" spans="1:45" ht="30" x14ac:dyDescent="0.25">
      <c r="A16" s="2" t="s">
        <v>353</v>
      </c>
      <c r="B16" s="2" t="s">
        <v>48</v>
      </c>
      <c r="C16" s="2" t="s">
        <v>354</v>
      </c>
      <c r="D16" s="2" t="s">
        <v>18</v>
      </c>
      <c r="E16" s="2" t="s">
        <v>36</v>
      </c>
      <c r="F16" s="2" t="s">
        <v>6</v>
      </c>
      <c r="G16" s="2">
        <v>60</v>
      </c>
      <c r="H16" s="1">
        <v>36.049999999999997</v>
      </c>
      <c r="I16" s="1">
        <f t="shared" si="0"/>
        <v>0.60083333333333333</v>
      </c>
      <c r="J16" s="2" t="s">
        <v>37</v>
      </c>
      <c r="K16" s="2" t="s">
        <v>37</v>
      </c>
      <c r="L16" s="2" t="s">
        <v>5</v>
      </c>
      <c r="M16" s="2">
        <v>18.75</v>
      </c>
      <c r="N16" s="2">
        <f>Table13[[#This Row],[Doses per inhaler1,2]]*Table13[[#This Row],[Indicative carbon footprint /puff (g CO2e) 
Midpoint value7,8]]</f>
        <v>1125</v>
      </c>
      <c r="O16" s="10" t="s">
        <v>675</v>
      </c>
      <c r="P16" s="3">
        <v>28</v>
      </c>
      <c r="Q16" s="3">
        <f>Table13[[#This Row],[Indicative carbon footprint /puff (g CO2e) 
Midpoint value7,8]]*Table13[[#This Row],[Number of puffs per 28 days1-4]]</f>
        <v>525</v>
      </c>
      <c r="R16" s="3">
        <f>13*Table13[[#This Row],[Indicative carbon footprint per 28 days (g CO2e)]]</f>
        <v>6825</v>
      </c>
      <c r="S16" s="3" t="str">
        <f>IF(Table13[[#This Row],[Indicative carbon footprint /puff (g CO2e) 
Midpoint value7,8]]&gt;=35,"High","Low")</f>
        <v>Low</v>
      </c>
      <c r="T16" s="3"/>
      <c r="U16" s="1">
        <f>Table13[[#This Row],[Number of puffs per 28 days1-4]]*Table13[[#This Row],[Cost/puff 1,5-7]]</f>
        <v>16.823333333333334</v>
      </c>
      <c r="V16" s="1">
        <f>Table13[[#This Row],[Indicative cost per 28 days1,5]]*13</f>
        <v>218.70333333333335</v>
      </c>
      <c r="W16" s="1"/>
      <c r="X16" s="2" t="s">
        <v>7</v>
      </c>
      <c r="Y16" s="2" t="s">
        <v>5</v>
      </c>
      <c r="Z16" s="4" t="s">
        <v>52</v>
      </c>
      <c r="AB16" s="2" t="s">
        <v>17</v>
      </c>
      <c r="AD16" s="2" t="s">
        <v>63</v>
      </c>
      <c r="AE16" s="2" t="s">
        <v>63</v>
      </c>
      <c r="AF16" s="2" t="s">
        <v>63</v>
      </c>
      <c r="AG16" s="2" t="s">
        <v>63</v>
      </c>
      <c r="AH16" s="2" t="s">
        <v>63</v>
      </c>
      <c r="AI16" s="2" t="s">
        <v>63</v>
      </c>
      <c r="AJ16" s="2" t="s">
        <v>63</v>
      </c>
      <c r="AK16" s="2" t="s">
        <v>63</v>
      </c>
      <c r="AL16" s="2" t="s">
        <v>63</v>
      </c>
      <c r="AM16" s="2" t="s">
        <v>63</v>
      </c>
      <c r="AN16" s="2" t="s">
        <v>63</v>
      </c>
      <c r="AO16" s="2" t="s">
        <v>63</v>
      </c>
      <c r="AP16" s="2" t="s">
        <v>63</v>
      </c>
      <c r="AQ16" s="2" t="s">
        <v>63</v>
      </c>
      <c r="AR16" s="2" t="s">
        <v>50</v>
      </c>
      <c r="AS16" s="2" t="s">
        <v>310</v>
      </c>
    </row>
    <row r="17" spans="1:45" ht="30" x14ac:dyDescent="0.25">
      <c r="A17" s="2" t="s">
        <v>353</v>
      </c>
      <c r="B17" s="2" t="s">
        <v>48</v>
      </c>
      <c r="C17" s="2" t="s">
        <v>354</v>
      </c>
      <c r="D17" s="2" t="s">
        <v>18</v>
      </c>
      <c r="E17" s="2" t="s">
        <v>36</v>
      </c>
      <c r="F17" s="2" t="s">
        <v>6</v>
      </c>
      <c r="G17" s="2">
        <v>30</v>
      </c>
      <c r="H17" s="1">
        <v>21.78</v>
      </c>
      <c r="I17" s="1">
        <f t="shared" si="0"/>
        <v>0.72600000000000009</v>
      </c>
      <c r="J17" s="2" t="s">
        <v>37</v>
      </c>
      <c r="K17" s="2" t="s">
        <v>37</v>
      </c>
      <c r="L17" s="2" t="s">
        <v>5</v>
      </c>
      <c r="M17" s="2">
        <v>18.75</v>
      </c>
      <c r="N17" s="2">
        <f>Table13[[#This Row],[Doses per inhaler1,2]]*Table13[[#This Row],[Indicative carbon footprint /puff (g CO2e) 
Midpoint value7,8]]</f>
        <v>562.5</v>
      </c>
      <c r="O17" s="10" t="s">
        <v>675</v>
      </c>
      <c r="P17" s="3">
        <v>28</v>
      </c>
      <c r="Q17" s="3">
        <f>Table13[[#This Row],[Indicative carbon footprint /puff (g CO2e) 
Midpoint value7,8]]*Table13[[#This Row],[Number of puffs per 28 days1-4]]</f>
        <v>525</v>
      </c>
      <c r="R17" s="3">
        <f>13*Table13[[#This Row],[Indicative carbon footprint per 28 days (g CO2e)]]</f>
        <v>6825</v>
      </c>
      <c r="S17" s="3" t="str">
        <f>IF(Table13[[#This Row],[Indicative carbon footprint /puff (g CO2e) 
Midpoint value7,8]]&gt;=35,"High","Low")</f>
        <v>Low</v>
      </c>
      <c r="T17" s="3"/>
      <c r="U17" s="1">
        <f>Table13[[#This Row],[Number of puffs per 28 days1-4]]*Table13[[#This Row],[Cost/puff 1,5-7]]</f>
        <v>20.328000000000003</v>
      </c>
      <c r="V17" s="1">
        <f>Table13[[#This Row],[Indicative cost per 28 days1,5]]*13</f>
        <v>264.26400000000001</v>
      </c>
      <c r="W17" s="1"/>
      <c r="X17" s="2" t="s">
        <v>7</v>
      </c>
      <c r="Y17" s="2" t="s">
        <v>5</v>
      </c>
      <c r="Z17" s="4" t="s">
        <v>53</v>
      </c>
      <c r="AB17" s="2" t="s">
        <v>17</v>
      </c>
      <c r="AD17" s="2" t="s">
        <v>63</v>
      </c>
      <c r="AE17" s="2" t="s">
        <v>63</v>
      </c>
      <c r="AF17" s="2" t="s">
        <v>63</v>
      </c>
      <c r="AG17" s="2" t="s">
        <v>63</v>
      </c>
      <c r="AH17" s="2" t="s">
        <v>63</v>
      </c>
      <c r="AI17" s="2" t="s">
        <v>63</v>
      </c>
      <c r="AJ17" s="2" t="s">
        <v>63</v>
      </c>
      <c r="AK17" s="2" t="s">
        <v>63</v>
      </c>
      <c r="AL17" s="2" t="s">
        <v>63</v>
      </c>
      <c r="AM17" s="2" t="s">
        <v>63</v>
      </c>
      <c r="AN17" s="2" t="s">
        <v>63</v>
      </c>
      <c r="AO17" s="2" t="s">
        <v>63</v>
      </c>
      <c r="AP17" s="2" t="s">
        <v>63</v>
      </c>
      <c r="AQ17" s="2" t="s">
        <v>63</v>
      </c>
      <c r="AR17" s="2" t="s">
        <v>50</v>
      </c>
      <c r="AS17" s="2" t="s">
        <v>310</v>
      </c>
    </row>
    <row r="18" spans="1:45" ht="75" x14ac:dyDescent="0.25">
      <c r="A18" s="2" t="s">
        <v>355</v>
      </c>
      <c r="B18" s="2" t="s">
        <v>54</v>
      </c>
      <c r="C18" s="2" t="s">
        <v>498</v>
      </c>
      <c r="D18" s="2" t="s">
        <v>18</v>
      </c>
      <c r="E18" s="2" t="s">
        <v>11</v>
      </c>
      <c r="F18" s="2" t="s">
        <v>6</v>
      </c>
      <c r="G18" s="2">
        <v>30</v>
      </c>
      <c r="H18" s="1">
        <v>21.5</v>
      </c>
      <c r="I18" s="1">
        <f t="shared" si="0"/>
        <v>0.71666666666666667</v>
      </c>
      <c r="J18" s="2" t="s">
        <v>37</v>
      </c>
      <c r="K18" s="2" t="s">
        <v>37</v>
      </c>
      <c r="L18" s="2" t="s">
        <v>5</v>
      </c>
      <c r="M18" s="3">
        <v>13</v>
      </c>
      <c r="N18" s="3">
        <v>401</v>
      </c>
      <c r="O18" s="10" t="s">
        <v>671</v>
      </c>
      <c r="P18" s="3">
        <v>28</v>
      </c>
      <c r="Q18" s="3">
        <f>Table13[[#This Row],[Indicative carbon footprint /puff (g CO2e) 
Midpoint value7,8]]*Table13[[#This Row],[Number of puffs per 28 days1-4]]</f>
        <v>364</v>
      </c>
      <c r="R18" s="3">
        <f>13*Table13[[#This Row],[Indicative carbon footprint per 28 days (g CO2e)]]</f>
        <v>4732</v>
      </c>
      <c r="S18" s="3" t="str">
        <f>IF(Table13[[#This Row],[Indicative carbon footprint /puff (g CO2e) 
Midpoint value7,8]]&gt;=35,"High","Low")</f>
        <v>Low</v>
      </c>
      <c r="T18" s="3"/>
      <c r="U18" s="1">
        <f>Table13[[#This Row],[Number of puffs per 28 days1-4]]*Table13[[#This Row],[Cost/puff 1,5-7]]</f>
        <v>20.066666666666666</v>
      </c>
      <c r="V18" s="1">
        <f>Table13[[#This Row],[Indicative cost per 28 days1,5]]*13</f>
        <v>260.86666666666667</v>
      </c>
      <c r="W18" s="1" t="s">
        <v>308</v>
      </c>
      <c r="X18" s="2" t="s">
        <v>14</v>
      </c>
      <c r="Y18" s="2" t="s">
        <v>5</v>
      </c>
      <c r="Z18" s="4" t="s">
        <v>55</v>
      </c>
      <c r="AA18" s="9" t="s">
        <v>45</v>
      </c>
      <c r="AB18" s="2" t="s">
        <v>17</v>
      </c>
      <c r="AD18" s="2" t="s">
        <v>56</v>
      </c>
      <c r="AE18" s="3">
        <f>(0.22+0.01)*Table13[[#This Row],[Indicative carbon footprint /inhaler (g CO2e) 
Midpoint value7,8]]</f>
        <v>92.23</v>
      </c>
      <c r="AF18" s="3">
        <f>0.24*N18</f>
        <v>96.24</v>
      </c>
      <c r="AG18" s="3">
        <f>0.2*N18</f>
        <v>80.2</v>
      </c>
      <c r="AH18" s="2" t="s">
        <v>513</v>
      </c>
      <c r="AI18" s="3">
        <f>0.27*N18</f>
        <v>108.27000000000001</v>
      </c>
      <c r="AJ18" s="2" t="s">
        <v>57</v>
      </c>
      <c r="AK18" s="2" t="s">
        <v>5</v>
      </c>
      <c r="AL18" s="3">
        <f>0.02*N18</f>
        <v>8.02</v>
      </c>
      <c r="AM18" s="2">
        <v>0</v>
      </c>
      <c r="AN18" s="3">
        <f>0.04*N18</f>
        <v>16.04</v>
      </c>
      <c r="AO18" s="2" t="s">
        <v>5</v>
      </c>
      <c r="AP18" s="2" t="s">
        <v>5</v>
      </c>
      <c r="AQ18" s="2" t="s">
        <v>5</v>
      </c>
      <c r="AR18" s="2" t="s">
        <v>514</v>
      </c>
      <c r="AS18" s="10" t="s">
        <v>313</v>
      </c>
    </row>
    <row r="19" spans="1:45" ht="75" x14ac:dyDescent="0.25">
      <c r="A19" s="2" t="s">
        <v>356</v>
      </c>
      <c r="B19" s="2" t="s">
        <v>54</v>
      </c>
      <c r="C19" s="2" t="s">
        <v>497</v>
      </c>
      <c r="D19" s="2" t="s">
        <v>18</v>
      </c>
      <c r="E19" s="2" t="s">
        <v>11</v>
      </c>
      <c r="F19" s="2" t="s">
        <v>6</v>
      </c>
      <c r="G19" s="2">
        <v>30</v>
      </c>
      <c r="H19" s="1">
        <v>27.97</v>
      </c>
      <c r="I19" s="1">
        <f t="shared" si="0"/>
        <v>0.93233333333333335</v>
      </c>
      <c r="J19" s="2" t="s">
        <v>37</v>
      </c>
      <c r="K19" s="2" t="s">
        <v>37</v>
      </c>
      <c r="L19" s="2" t="s">
        <v>5</v>
      </c>
      <c r="M19" s="3">
        <v>13</v>
      </c>
      <c r="N19" s="3">
        <v>401</v>
      </c>
      <c r="O19" s="10" t="s">
        <v>671</v>
      </c>
      <c r="P19" s="3">
        <v>28</v>
      </c>
      <c r="Q19" s="3">
        <f>Table13[[#This Row],[Indicative carbon footprint /puff (g CO2e) 
Midpoint value7,8]]*Table13[[#This Row],[Number of puffs per 28 days1-4]]</f>
        <v>364</v>
      </c>
      <c r="R19" s="3">
        <f>13*Table13[[#This Row],[Indicative carbon footprint per 28 days (g CO2e)]]</f>
        <v>4732</v>
      </c>
      <c r="S19" s="3" t="str">
        <f>IF(Table13[[#This Row],[Indicative carbon footprint /puff (g CO2e) 
Midpoint value7,8]]&gt;=35,"High","Low")</f>
        <v>Low</v>
      </c>
      <c r="T19" s="3"/>
      <c r="U19" s="1">
        <f>Table13[[#This Row],[Number of puffs per 28 days1-4]]*Table13[[#This Row],[Cost/puff 1,5-7]]</f>
        <v>26.105333333333334</v>
      </c>
      <c r="V19" s="1">
        <f>Table13[[#This Row],[Indicative cost per 28 days1,5]]*13</f>
        <v>339.36933333333332</v>
      </c>
      <c r="W19" s="1"/>
      <c r="X19" s="2" t="s">
        <v>14</v>
      </c>
      <c r="Y19" s="2" t="s">
        <v>5</v>
      </c>
      <c r="Z19" s="4" t="s">
        <v>58</v>
      </c>
      <c r="AA19" s="9" t="s">
        <v>45</v>
      </c>
      <c r="AB19" s="2" t="s">
        <v>17</v>
      </c>
      <c r="AD19" s="2" t="s">
        <v>56</v>
      </c>
      <c r="AE19" s="3">
        <f>(0.22+0.01)*Table13[[#This Row],[Indicative carbon footprint /inhaler (g CO2e) 
Midpoint value7,8]]</f>
        <v>92.23</v>
      </c>
      <c r="AF19" s="3">
        <f>0.24*N19</f>
        <v>96.24</v>
      </c>
      <c r="AG19" s="3">
        <f>0.2*N19</f>
        <v>80.2</v>
      </c>
      <c r="AH19" s="2" t="s">
        <v>513</v>
      </c>
      <c r="AI19" s="3">
        <f>0.27*N19</f>
        <v>108.27000000000001</v>
      </c>
      <c r="AJ19" s="2" t="s">
        <v>57</v>
      </c>
      <c r="AK19" s="2" t="s">
        <v>5</v>
      </c>
      <c r="AL19" s="3">
        <f>0.02*N19</f>
        <v>8.02</v>
      </c>
      <c r="AM19" s="2">
        <v>0</v>
      </c>
      <c r="AN19" s="3">
        <f>0.04*N19</f>
        <v>16.04</v>
      </c>
      <c r="AO19" s="2" t="s">
        <v>5</v>
      </c>
      <c r="AP19" s="2" t="s">
        <v>5</v>
      </c>
      <c r="AQ19" s="2" t="s">
        <v>5</v>
      </c>
      <c r="AR19" s="2" t="s">
        <v>514</v>
      </c>
      <c r="AS19" s="10" t="s">
        <v>313</v>
      </c>
    </row>
    <row r="20" spans="1:45" ht="75" x14ac:dyDescent="0.25">
      <c r="A20" s="2" t="s">
        <v>357</v>
      </c>
      <c r="B20" s="2" t="s">
        <v>54</v>
      </c>
      <c r="C20" s="2" t="s">
        <v>496</v>
      </c>
      <c r="D20" s="2" t="s">
        <v>18</v>
      </c>
      <c r="E20" s="2" t="s">
        <v>11</v>
      </c>
      <c r="F20" s="2" t="s">
        <v>6</v>
      </c>
      <c r="G20" s="2">
        <v>30</v>
      </c>
      <c r="H20" s="1">
        <v>17.489999999999998</v>
      </c>
      <c r="I20" s="1">
        <f t="shared" si="0"/>
        <v>0.58299999999999996</v>
      </c>
      <c r="J20" s="2" t="s">
        <v>37</v>
      </c>
      <c r="K20" s="2" t="s">
        <v>37</v>
      </c>
      <c r="L20" s="2" t="s">
        <v>5</v>
      </c>
      <c r="M20" s="2">
        <v>13</v>
      </c>
      <c r="N20" s="2">
        <v>401</v>
      </c>
      <c r="O20" s="10" t="s">
        <v>671</v>
      </c>
      <c r="P20" s="3">
        <v>28</v>
      </c>
      <c r="Q20" s="3">
        <f>Table13[[#This Row],[Indicative carbon footprint /puff (g CO2e) 
Midpoint value7,8]]*Table13[[#This Row],[Number of puffs per 28 days1-4]]</f>
        <v>364</v>
      </c>
      <c r="R20" s="3">
        <f>13*Table13[[#This Row],[Indicative carbon footprint per 28 days (g CO2e)]]</f>
        <v>4732</v>
      </c>
      <c r="S20" s="3" t="str">
        <f>IF(Table13[[#This Row],[Indicative carbon footprint /puff (g CO2e) 
Midpoint value7,8]]&gt;=35,"High","Low")</f>
        <v>Low</v>
      </c>
      <c r="T20" s="3"/>
      <c r="U20" s="1">
        <f>Table13[[#This Row],[Number of puffs per 28 days1-4]]*Table13[[#This Row],[Cost/puff 1,5-7]]</f>
        <v>16.323999999999998</v>
      </c>
      <c r="V20" s="1">
        <f>Table13[[#This Row],[Indicative cost per 28 days1,5]]*13</f>
        <v>212.21199999999999</v>
      </c>
      <c r="W20" s="1" t="s">
        <v>308</v>
      </c>
      <c r="X20" s="2" t="s">
        <v>14</v>
      </c>
      <c r="Y20" s="2" t="s">
        <v>5</v>
      </c>
      <c r="Z20" s="4" t="s">
        <v>59</v>
      </c>
      <c r="AA20" s="9" t="s">
        <v>45</v>
      </c>
      <c r="AB20" s="2" t="s">
        <v>17</v>
      </c>
      <c r="AD20" s="2" t="s">
        <v>56</v>
      </c>
      <c r="AE20" s="3">
        <f>(0.22+0.01)*N20</f>
        <v>92.23</v>
      </c>
      <c r="AF20" s="3">
        <f>0.24*N20</f>
        <v>96.24</v>
      </c>
      <c r="AG20" s="3">
        <f>0.2*N20</f>
        <v>80.2</v>
      </c>
      <c r="AH20" s="2" t="s">
        <v>513</v>
      </c>
      <c r="AI20" s="3">
        <f>0.27*N20</f>
        <v>108.27000000000001</v>
      </c>
      <c r="AJ20" s="2" t="s">
        <v>57</v>
      </c>
      <c r="AK20" s="2" t="s">
        <v>5</v>
      </c>
      <c r="AL20" s="3">
        <f>0.02*N20</f>
        <v>8.02</v>
      </c>
      <c r="AM20" s="2">
        <v>0</v>
      </c>
      <c r="AN20" s="3">
        <f>0.04*N20</f>
        <v>16.04</v>
      </c>
      <c r="AO20" s="2" t="s">
        <v>5</v>
      </c>
      <c r="AP20" s="2" t="s">
        <v>5</v>
      </c>
      <c r="AQ20" s="2" t="s">
        <v>5</v>
      </c>
      <c r="AR20" s="2" t="s">
        <v>514</v>
      </c>
      <c r="AS20" s="10" t="s">
        <v>313</v>
      </c>
    </row>
    <row r="21" spans="1:45" ht="30" x14ac:dyDescent="0.2">
      <c r="A21" s="2" t="s">
        <v>358</v>
      </c>
      <c r="B21" s="2" t="s">
        <v>60</v>
      </c>
      <c r="C21" s="2" t="s">
        <v>359</v>
      </c>
      <c r="D21" s="2" t="s">
        <v>10</v>
      </c>
      <c r="E21" s="2" t="s">
        <v>61</v>
      </c>
      <c r="F21" s="2" t="s">
        <v>19</v>
      </c>
      <c r="G21" s="2">
        <v>100</v>
      </c>
      <c r="H21" s="1">
        <v>30.06</v>
      </c>
      <c r="I21" s="1">
        <f t="shared" si="0"/>
        <v>0.30059999999999998</v>
      </c>
      <c r="J21" s="2" t="s">
        <v>37</v>
      </c>
      <c r="K21" s="2" t="s">
        <v>37</v>
      </c>
      <c r="L21" s="2" t="s">
        <v>5</v>
      </c>
      <c r="M21" s="2">
        <v>130</v>
      </c>
      <c r="N21" s="2">
        <f>Table13[[#This Row],[Doses per inhaler1,2]]*Table13[[#This Row],[Indicative carbon footprint /puff (g CO2e) 
Midpoint value7,8]]</f>
        <v>13000</v>
      </c>
      <c r="O21" s="10" t="s">
        <v>63</v>
      </c>
      <c r="P21" s="3">
        <v>56</v>
      </c>
      <c r="Q21" s="3">
        <f>Table13[[#This Row],[Indicative carbon footprint /puff (g CO2e) 
Midpoint value7,8]]*Table13[[#This Row],[Number of puffs per 28 days1-4]]</f>
        <v>7280</v>
      </c>
      <c r="R21" s="26">
        <f>13*Table13[[#This Row],[Indicative carbon footprint per 28 days (g CO2e)]]</f>
        <v>94640</v>
      </c>
      <c r="S21" s="3" t="str">
        <f>IF(Table13[[#This Row],[Indicative carbon footprint /puff (g CO2e) 
Midpoint value7,8]]&gt;=35,"High","Low")</f>
        <v>High</v>
      </c>
      <c r="T21" s="3" t="s">
        <v>734</v>
      </c>
      <c r="U21" s="1">
        <f>Table13[[#This Row],[Number of puffs per 28 days1-4]]*Table13[[#This Row],[Cost/puff 1,5-7]]</f>
        <v>16.833599999999997</v>
      </c>
      <c r="V21" s="1">
        <f>Table13[[#This Row],[Indicative cost per 28 days1,5]]*13</f>
        <v>218.83679999999995</v>
      </c>
      <c r="W21" s="1"/>
      <c r="X21" s="2" t="s">
        <v>7</v>
      </c>
      <c r="Y21" s="2" t="s">
        <v>210</v>
      </c>
      <c r="Z21" s="4" t="s">
        <v>62</v>
      </c>
      <c r="AD21" s="2" t="s">
        <v>63</v>
      </c>
      <c r="AE21" s="2" t="s">
        <v>63</v>
      </c>
      <c r="AF21" s="2" t="s">
        <v>63</v>
      </c>
      <c r="AG21" s="2" t="s">
        <v>63</v>
      </c>
      <c r="AH21" s="2" t="s">
        <v>63</v>
      </c>
      <c r="AI21" s="2" t="s">
        <v>63</v>
      </c>
      <c r="AJ21" s="2" t="s">
        <v>63</v>
      </c>
      <c r="AK21" s="2" t="s">
        <v>63</v>
      </c>
      <c r="AL21" s="2" t="s">
        <v>63</v>
      </c>
      <c r="AM21" s="2" t="s">
        <v>63</v>
      </c>
      <c r="AN21" s="2" t="s">
        <v>63</v>
      </c>
      <c r="AO21" s="2" t="s">
        <v>63</v>
      </c>
      <c r="AP21" s="2" t="s">
        <v>63</v>
      </c>
      <c r="AQ21" s="49" t="s">
        <v>63</v>
      </c>
      <c r="AR21" s="2" t="s">
        <v>63</v>
      </c>
      <c r="AS21" s="2">
        <v>130</v>
      </c>
    </row>
    <row r="22" spans="1:45" ht="75" x14ac:dyDescent="0.25">
      <c r="A22" s="2" t="s">
        <v>360</v>
      </c>
      <c r="B22" s="2" t="s">
        <v>64</v>
      </c>
      <c r="C22" s="2" t="s">
        <v>361</v>
      </c>
      <c r="D22" s="2" t="s">
        <v>10</v>
      </c>
      <c r="E22" s="2" t="s">
        <v>65</v>
      </c>
      <c r="F22" s="2" t="s">
        <v>19</v>
      </c>
      <c r="G22" s="2">
        <v>200</v>
      </c>
      <c r="H22" s="1">
        <v>5.56</v>
      </c>
      <c r="I22" s="1">
        <f t="shared" si="0"/>
        <v>2.7799999999999998E-2</v>
      </c>
      <c r="J22" s="2" t="s">
        <v>66</v>
      </c>
      <c r="K22" s="2" t="s">
        <v>67</v>
      </c>
      <c r="L22" s="2" t="s">
        <v>5</v>
      </c>
      <c r="M22" s="7">
        <v>73</v>
      </c>
      <c r="N22" s="3">
        <v>14590</v>
      </c>
      <c r="O22" s="10" t="s">
        <v>63</v>
      </c>
      <c r="P22" s="3">
        <v>84</v>
      </c>
      <c r="Q22" s="3">
        <f>Table13[[#This Row],[Indicative carbon footprint /puff (g CO2e) 
Midpoint value7,8]]*Table13[[#This Row],[Number of puffs per 28 days1-4]]</f>
        <v>6132</v>
      </c>
      <c r="R22" s="16">
        <f>13*Table13[[#This Row],[Indicative carbon footprint per 28 days (g CO2e)]]</f>
        <v>79716</v>
      </c>
      <c r="S22" s="3" t="str">
        <f>IF(Table13[[#This Row],[Indicative carbon footprint /puff (g CO2e) 
Midpoint value7,8]]&gt;=35,"High","Low")</f>
        <v>High</v>
      </c>
      <c r="T22" s="3"/>
      <c r="U22" s="1">
        <f>Table13[[#This Row],[Number of puffs per 28 days1-4]]*Table13[[#This Row],[Cost/puff 1,5-7]]</f>
        <v>2.3351999999999999</v>
      </c>
      <c r="V22" s="1">
        <f>Table13[[#This Row],[Indicative cost per 28 days1,5]]*13</f>
        <v>30.357599999999998</v>
      </c>
      <c r="W22" s="2" t="s">
        <v>68</v>
      </c>
      <c r="X22" s="2" t="s">
        <v>14</v>
      </c>
      <c r="Y22" s="2" t="s">
        <v>210</v>
      </c>
      <c r="Z22" s="4" t="s">
        <v>696</v>
      </c>
      <c r="AC22" s="2" t="s">
        <v>29</v>
      </c>
      <c r="AD22" s="2" t="s">
        <v>69</v>
      </c>
      <c r="AE22" s="2" t="s">
        <v>63</v>
      </c>
      <c r="AF22" s="2" t="s">
        <v>63</v>
      </c>
      <c r="AG22" s="2" t="s">
        <v>63</v>
      </c>
      <c r="AH22" s="2" t="s">
        <v>63</v>
      </c>
      <c r="AI22" s="2" t="s">
        <v>63</v>
      </c>
      <c r="AJ22" s="2" t="s">
        <v>63</v>
      </c>
      <c r="AK22" s="2" t="s">
        <v>63</v>
      </c>
      <c r="AL22" s="2" t="s">
        <v>63</v>
      </c>
      <c r="AM22" s="2" t="s">
        <v>63</v>
      </c>
      <c r="AN22" s="2" t="s">
        <v>63</v>
      </c>
      <c r="AO22" s="2" t="s">
        <v>63</v>
      </c>
      <c r="AP22" s="2" t="s">
        <v>63</v>
      </c>
      <c r="AQ22" s="2" t="s">
        <v>63</v>
      </c>
      <c r="AR22" s="2" t="s">
        <v>63</v>
      </c>
      <c r="AS22" s="7">
        <v>71.5</v>
      </c>
    </row>
    <row r="23" spans="1:45" ht="30" x14ac:dyDescent="0.25">
      <c r="A23" s="2" t="s">
        <v>741</v>
      </c>
      <c r="B23" s="2" t="s">
        <v>740</v>
      </c>
      <c r="C23" s="2" t="s">
        <v>341</v>
      </c>
      <c r="D23" s="2" t="s">
        <v>18</v>
      </c>
      <c r="E23" s="2" t="s">
        <v>11</v>
      </c>
      <c r="F23" s="2" t="s">
        <v>19</v>
      </c>
      <c r="G23" s="2">
        <v>120</v>
      </c>
      <c r="H23" s="1">
        <v>10.33</v>
      </c>
      <c r="I23" s="1">
        <f t="shared" si="0"/>
        <v>8.6083333333333331E-2</v>
      </c>
      <c r="J23" s="2" t="s">
        <v>37</v>
      </c>
      <c r="K23" s="2" t="s">
        <v>37</v>
      </c>
      <c r="L23" s="2" t="s">
        <v>5</v>
      </c>
      <c r="M23" s="2">
        <v>163.5</v>
      </c>
      <c r="N23" s="2">
        <f>Table13[[#This Row],[Doses per inhaler1,2]]*Table13[[#This Row],[Indicative carbon footprint /puff (g CO2e) 
Midpoint value7,8]]</f>
        <v>19620</v>
      </c>
      <c r="O23" s="10" t="s">
        <v>63</v>
      </c>
      <c r="P23" s="3">
        <v>112</v>
      </c>
      <c r="Q23" s="3">
        <f>Table13[[#This Row],[Indicative carbon footprint /puff (g CO2e) 
Midpoint value7,8]]*Table13[[#This Row],[Number of puffs per 28 days1-4]]</f>
        <v>18312</v>
      </c>
      <c r="R23" s="3">
        <f>13*Table13[[#This Row],[Indicative carbon footprint per 28 days (g CO2e)]]</f>
        <v>238056</v>
      </c>
      <c r="S23" s="3" t="str">
        <f>IF(Table13[[#This Row],[Indicative carbon footprint /puff (g CO2e) 
Midpoint value7,8]]&gt;=35,"High","Low")</f>
        <v>High</v>
      </c>
      <c r="T23" s="3"/>
      <c r="U23" s="1">
        <f>Table13[[#This Row],[Number of puffs per 28 days1-4]]*Table13[[#This Row],[Cost/puff 1,5-7]]</f>
        <v>9.6413333333333338</v>
      </c>
      <c r="V23" s="1">
        <f>Table13[[#This Row],[Indicative cost per 28 days1,5]]*13</f>
        <v>125.33733333333333</v>
      </c>
      <c r="W23" s="1" t="s">
        <v>296</v>
      </c>
      <c r="X23" s="1" t="s">
        <v>7</v>
      </c>
      <c r="Y23" s="2" t="s">
        <v>210</v>
      </c>
      <c r="Z23" s="4" t="s">
        <v>744</v>
      </c>
      <c r="AA23" s="2" t="s">
        <v>45</v>
      </c>
      <c r="AC23" s="11"/>
      <c r="AD23" s="2" t="s">
        <v>63</v>
      </c>
      <c r="AE23" s="2" t="s">
        <v>63</v>
      </c>
      <c r="AF23" s="2" t="s">
        <v>63</v>
      </c>
      <c r="AG23" s="2" t="s">
        <v>63</v>
      </c>
      <c r="AH23" s="2" t="s">
        <v>63</v>
      </c>
      <c r="AI23" s="2" t="s">
        <v>63</v>
      </c>
      <c r="AJ23" s="2" t="s">
        <v>63</v>
      </c>
      <c r="AK23" s="2" t="s">
        <v>63</v>
      </c>
      <c r="AL23" s="2" t="s">
        <v>63</v>
      </c>
      <c r="AM23" s="2" t="s">
        <v>63</v>
      </c>
      <c r="AN23" s="2" t="s">
        <v>63</v>
      </c>
      <c r="AO23" s="2" t="s">
        <v>63</v>
      </c>
      <c r="AP23" s="2" t="s">
        <v>63</v>
      </c>
      <c r="AQ23" s="2" t="s">
        <v>63</v>
      </c>
      <c r="AR23" s="2" t="s">
        <v>63</v>
      </c>
      <c r="AS23" s="10" t="s">
        <v>313</v>
      </c>
    </row>
    <row r="24" spans="1:45" ht="30" x14ac:dyDescent="0.25">
      <c r="A24" s="2" t="s">
        <v>742</v>
      </c>
      <c r="B24" s="2" t="s">
        <v>740</v>
      </c>
      <c r="C24" s="2" t="s">
        <v>342</v>
      </c>
      <c r="D24" s="2" t="s">
        <v>18</v>
      </c>
      <c r="E24" s="2" t="s">
        <v>11</v>
      </c>
      <c r="F24" s="2" t="s">
        <v>19</v>
      </c>
      <c r="G24" s="2">
        <v>120</v>
      </c>
      <c r="H24" s="1">
        <v>13.66</v>
      </c>
      <c r="I24" s="1">
        <f t="shared" si="0"/>
        <v>0.11383333333333333</v>
      </c>
      <c r="J24" s="2" t="s">
        <v>37</v>
      </c>
      <c r="K24" s="2" t="s">
        <v>37</v>
      </c>
      <c r="L24" s="2" t="s">
        <v>5</v>
      </c>
      <c r="M24" s="2">
        <v>163.5</v>
      </c>
      <c r="N24" s="2">
        <f>Table13[[#This Row],[Doses per inhaler1,2]]*Table13[[#This Row],[Indicative carbon footprint /puff (g CO2e) 
Midpoint value7,8]]</f>
        <v>19620</v>
      </c>
      <c r="O24" s="10" t="s">
        <v>63</v>
      </c>
      <c r="P24" s="3">
        <v>112</v>
      </c>
      <c r="Q24" s="3">
        <f>Table13[[#This Row],[Indicative carbon footprint /puff (g CO2e) 
Midpoint value7,8]]*Table13[[#This Row],[Number of puffs per 28 days1-4]]</f>
        <v>18312</v>
      </c>
      <c r="R24" s="3">
        <f>13*Table13[[#This Row],[Indicative carbon footprint per 28 days (g CO2e)]]</f>
        <v>238056</v>
      </c>
      <c r="S24" s="3" t="str">
        <f>IF(Table13[[#This Row],[Indicative carbon footprint /puff (g CO2e) 
Midpoint value7,8]]&gt;=35,"High","Low")</f>
        <v>High</v>
      </c>
      <c r="T24" s="3"/>
      <c r="U24" s="1">
        <f>Table13[[#This Row],[Number of puffs per 28 days1-4]]*Table13[[#This Row],[Cost/puff 1,5-7]]</f>
        <v>12.749333333333333</v>
      </c>
      <c r="V24" s="1">
        <f>Table13[[#This Row],[Indicative cost per 28 days1,5]]*13</f>
        <v>165.74133333333333</v>
      </c>
      <c r="W24" s="1" t="s">
        <v>296</v>
      </c>
      <c r="X24" s="1" t="s">
        <v>7</v>
      </c>
      <c r="Y24" s="2" t="s">
        <v>210</v>
      </c>
      <c r="Z24" s="4" t="s">
        <v>745</v>
      </c>
      <c r="AA24" s="2" t="s">
        <v>45</v>
      </c>
      <c r="AC24" s="11"/>
      <c r="AD24" s="2" t="s">
        <v>63</v>
      </c>
      <c r="AE24" s="2" t="s">
        <v>63</v>
      </c>
      <c r="AF24" s="2" t="s">
        <v>63</v>
      </c>
      <c r="AG24" s="2" t="s">
        <v>63</v>
      </c>
      <c r="AH24" s="2" t="s">
        <v>63</v>
      </c>
      <c r="AI24" s="2" t="s">
        <v>63</v>
      </c>
      <c r="AJ24" s="2" t="s">
        <v>63</v>
      </c>
      <c r="AK24" s="2" t="s">
        <v>63</v>
      </c>
      <c r="AL24" s="2" t="s">
        <v>63</v>
      </c>
      <c r="AM24" s="2" t="s">
        <v>63</v>
      </c>
      <c r="AN24" s="2" t="s">
        <v>63</v>
      </c>
      <c r="AO24" s="2" t="s">
        <v>63</v>
      </c>
      <c r="AP24" s="2" t="s">
        <v>63</v>
      </c>
      <c r="AQ24" s="2" t="s">
        <v>63</v>
      </c>
      <c r="AR24" s="2" t="s">
        <v>63</v>
      </c>
      <c r="AS24" s="10" t="s">
        <v>313</v>
      </c>
    </row>
    <row r="25" spans="1:45" ht="30" x14ac:dyDescent="0.25">
      <c r="A25" s="2" t="s">
        <v>739</v>
      </c>
      <c r="B25" s="2" t="s">
        <v>740</v>
      </c>
      <c r="C25" s="2" t="s">
        <v>378</v>
      </c>
      <c r="D25" s="2" t="s">
        <v>18</v>
      </c>
      <c r="E25" s="2" t="s">
        <v>11</v>
      </c>
      <c r="F25" s="2" t="s">
        <v>19</v>
      </c>
      <c r="G25" s="2">
        <v>120</v>
      </c>
      <c r="H25" s="1">
        <v>12.99</v>
      </c>
      <c r="I25" s="1">
        <f t="shared" si="0"/>
        <v>0.10825</v>
      </c>
      <c r="J25" s="2" t="s">
        <v>26</v>
      </c>
      <c r="K25" s="2" t="s">
        <v>26</v>
      </c>
      <c r="L25" s="2" t="s">
        <v>5</v>
      </c>
      <c r="M25" s="2">
        <v>163.5</v>
      </c>
      <c r="N25" s="2">
        <f>Table13[[#This Row],[Doses per inhaler1,2]]*Table13[[#This Row],[Indicative carbon footprint /puff (g CO2e) 
Midpoint value7,8]]</f>
        <v>19620</v>
      </c>
      <c r="O25" s="10" t="s">
        <v>63</v>
      </c>
      <c r="P25" s="3">
        <v>112</v>
      </c>
      <c r="Q25" s="29">
        <f>Table13[[#This Row],[Indicative carbon footprint /puff (g CO2e) 
Midpoint value7,8]]*Table13[[#This Row],[Number of puffs per 28 days1-4]]</f>
        <v>18312</v>
      </c>
      <c r="R25" s="29">
        <f>13*Table13[[#This Row],[Indicative carbon footprint per 28 days (g CO2e)]]</f>
        <v>238056</v>
      </c>
      <c r="S25" s="3" t="str">
        <f>IF(Table13[[#This Row],[Indicative carbon footprint /puff (g CO2e) 
Midpoint value7,8]]&gt;=35,"High","Low")</f>
        <v>High</v>
      </c>
      <c r="T25" s="3"/>
      <c r="U25" s="1">
        <f>Table13[[#This Row],[Number of puffs per 28 days1-4]]*Table13[[#This Row],[Cost/puff 1,5-7]]</f>
        <v>12.124000000000001</v>
      </c>
      <c r="V25" s="1">
        <f>Table13[[#This Row],[Indicative cost per 28 days1,5]]*13</f>
        <v>157.61199999999999</v>
      </c>
      <c r="W25" s="1" t="s">
        <v>296</v>
      </c>
      <c r="X25" s="1" t="s">
        <v>7</v>
      </c>
      <c r="Y25" s="2" t="s">
        <v>210</v>
      </c>
      <c r="Z25" s="4" t="s">
        <v>743</v>
      </c>
      <c r="AA25" s="2" t="s">
        <v>45</v>
      </c>
      <c r="AC25" s="11"/>
      <c r="AD25" s="2" t="s">
        <v>63</v>
      </c>
      <c r="AE25" s="2" t="s">
        <v>63</v>
      </c>
      <c r="AF25" s="2" t="s">
        <v>63</v>
      </c>
      <c r="AG25" s="2" t="s">
        <v>63</v>
      </c>
      <c r="AH25" s="2" t="s">
        <v>63</v>
      </c>
      <c r="AI25" s="2" t="s">
        <v>63</v>
      </c>
      <c r="AJ25" s="2" t="s">
        <v>63</v>
      </c>
      <c r="AK25" s="2" t="s">
        <v>63</v>
      </c>
      <c r="AL25" s="2" t="s">
        <v>63</v>
      </c>
      <c r="AM25" s="2" t="s">
        <v>63</v>
      </c>
      <c r="AN25" s="2" t="s">
        <v>63</v>
      </c>
      <c r="AO25" s="2" t="s">
        <v>63</v>
      </c>
      <c r="AP25" s="2" t="s">
        <v>63</v>
      </c>
      <c r="AQ25" s="2" t="s">
        <v>63</v>
      </c>
      <c r="AR25" s="2" t="s">
        <v>63</v>
      </c>
      <c r="AS25" s="10" t="s">
        <v>313</v>
      </c>
    </row>
    <row r="26" spans="1:45" ht="220.5" x14ac:dyDescent="0.25">
      <c r="A26" s="2" t="s">
        <v>790</v>
      </c>
      <c r="B26" s="2" t="s">
        <v>326</v>
      </c>
      <c r="C26" s="2" t="s">
        <v>368</v>
      </c>
      <c r="D26" s="2" t="s">
        <v>18</v>
      </c>
      <c r="E26" s="2" t="s">
        <v>36</v>
      </c>
      <c r="F26" s="2" t="s">
        <v>19</v>
      </c>
      <c r="G26" s="2">
        <v>200</v>
      </c>
      <c r="H26" s="1">
        <v>5.19</v>
      </c>
      <c r="I26" s="1">
        <v>2.5950000000000001E-2</v>
      </c>
      <c r="J26" s="2" t="s">
        <v>249</v>
      </c>
      <c r="K26" s="2" t="s">
        <v>783</v>
      </c>
      <c r="L26" s="2" t="s">
        <v>5</v>
      </c>
      <c r="M26" s="27">
        <v>66.475849999999994</v>
      </c>
      <c r="N26" s="2">
        <v>15665.000000000002</v>
      </c>
      <c r="O26" s="44" t="s">
        <v>925</v>
      </c>
      <c r="P26" s="3">
        <v>112</v>
      </c>
      <c r="Q26" s="27">
        <v>7445.2951999999996</v>
      </c>
      <c r="R26" s="27">
        <v>96788.837599999999</v>
      </c>
      <c r="S26" s="3" t="s">
        <v>766</v>
      </c>
      <c r="T26" s="3" t="s">
        <v>734</v>
      </c>
      <c r="U26" s="1">
        <v>2.9064000000000001</v>
      </c>
      <c r="V26" s="1">
        <v>37.783200000000001</v>
      </c>
      <c r="W26" s="1" t="s">
        <v>784</v>
      </c>
      <c r="X26" s="1" t="s">
        <v>14</v>
      </c>
      <c r="Y26" s="2" t="s">
        <v>210</v>
      </c>
      <c r="Z26" s="4" t="s">
        <v>785</v>
      </c>
      <c r="AA26" s="2" t="s">
        <v>45</v>
      </c>
      <c r="AC26" s="11"/>
      <c r="AD26" s="44" t="s">
        <v>833</v>
      </c>
      <c r="AE26" s="2">
        <v>480.56</v>
      </c>
      <c r="AF26" s="2">
        <v>74.86</v>
      </c>
      <c r="AG26" s="2">
        <v>27.450000000000003</v>
      </c>
      <c r="AH26" s="2">
        <v>81.349999999999994</v>
      </c>
      <c r="AI26" s="2">
        <v>570.26</v>
      </c>
      <c r="AJ26" s="2" t="s">
        <v>63</v>
      </c>
      <c r="AK26" s="2" t="s">
        <v>63</v>
      </c>
      <c r="AL26" s="2">
        <v>10.64</v>
      </c>
      <c r="AM26" s="2">
        <v>13295.17</v>
      </c>
      <c r="AN26" s="2">
        <v>2435.6799999999998</v>
      </c>
      <c r="AO26" s="2" t="s">
        <v>63</v>
      </c>
      <c r="AP26" s="51" t="s">
        <v>926</v>
      </c>
      <c r="AR26" s="2" t="s">
        <v>786</v>
      </c>
      <c r="AS26" s="10" t="s">
        <v>313</v>
      </c>
    </row>
    <row r="27" spans="1:45" ht="220.5" x14ac:dyDescent="0.25">
      <c r="A27" s="2" t="s">
        <v>791</v>
      </c>
      <c r="B27" s="2" t="s">
        <v>326</v>
      </c>
      <c r="C27" s="2" t="s">
        <v>370</v>
      </c>
      <c r="D27" s="2" t="s">
        <v>18</v>
      </c>
      <c r="E27" s="2" t="s">
        <v>36</v>
      </c>
      <c r="F27" s="2" t="s">
        <v>19</v>
      </c>
      <c r="G27" s="2">
        <v>200</v>
      </c>
      <c r="H27" s="1">
        <v>11.31</v>
      </c>
      <c r="I27" s="1">
        <v>5.6550000000000003E-2</v>
      </c>
      <c r="J27" s="2" t="s">
        <v>787</v>
      </c>
      <c r="K27" s="2" t="s">
        <v>783</v>
      </c>
      <c r="L27" s="2" t="s">
        <v>5</v>
      </c>
      <c r="M27" s="27">
        <v>66.343400000000003</v>
      </c>
      <c r="N27" s="2">
        <v>15626</v>
      </c>
      <c r="O27" s="44" t="s">
        <v>925</v>
      </c>
      <c r="P27" s="3">
        <v>56</v>
      </c>
      <c r="Q27" s="27">
        <v>3715.2304000000004</v>
      </c>
      <c r="R27" s="27">
        <v>48297.995200000005</v>
      </c>
      <c r="S27" s="3" t="s">
        <v>766</v>
      </c>
      <c r="T27" s="3" t="s">
        <v>734</v>
      </c>
      <c r="U27" s="1">
        <v>3.1668000000000003</v>
      </c>
      <c r="V27" s="1">
        <v>41.168400000000005</v>
      </c>
      <c r="W27" s="1" t="s">
        <v>784</v>
      </c>
      <c r="X27" s="1" t="s">
        <v>14</v>
      </c>
      <c r="Y27" s="2" t="s">
        <v>210</v>
      </c>
      <c r="Z27" s="4" t="s">
        <v>788</v>
      </c>
      <c r="AA27" s="2" t="s">
        <v>45</v>
      </c>
      <c r="AC27" s="11"/>
      <c r="AD27" s="44" t="s">
        <v>833</v>
      </c>
      <c r="AE27" s="2">
        <v>478.09000000000003</v>
      </c>
      <c r="AF27" s="2">
        <v>74.86</v>
      </c>
      <c r="AG27" s="2">
        <v>27.450000000000003</v>
      </c>
      <c r="AH27" s="2">
        <v>81.510000000000005</v>
      </c>
      <c r="AI27" s="2">
        <v>570.26</v>
      </c>
      <c r="AJ27" s="2" t="s">
        <v>63</v>
      </c>
      <c r="AK27" s="2" t="s">
        <v>63</v>
      </c>
      <c r="AL27" s="2">
        <v>10.64</v>
      </c>
      <c r="AM27" s="2">
        <v>13268.68</v>
      </c>
      <c r="AN27" s="2">
        <v>2430.9499999999998</v>
      </c>
      <c r="AO27" s="2" t="s">
        <v>63</v>
      </c>
      <c r="AP27" s="51" t="s">
        <v>926</v>
      </c>
      <c r="AR27" s="2" t="s">
        <v>789</v>
      </c>
      <c r="AS27" s="10" t="s">
        <v>313</v>
      </c>
    </row>
    <row r="28" spans="1:45" ht="60" x14ac:dyDescent="0.25">
      <c r="A28" s="2" t="s">
        <v>70</v>
      </c>
      <c r="B28" s="2" t="s">
        <v>35</v>
      </c>
      <c r="C28" s="2" t="s">
        <v>495</v>
      </c>
      <c r="D28" s="2" t="s">
        <v>43</v>
      </c>
      <c r="E28" s="2" t="s">
        <v>44</v>
      </c>
      <c r="F28" s="2" t="s">
        <v>19</v>
      </c>
      <c r="G28" s="2">
        <v>120</v>
      </c>
      <c r="H28" s="1">
        <v>32.5</v>
      </c>
      <c r="I28" s="1">
        <f t="shared" ref="I28:I61" si="1">H28/G28</f>
        <v>0.27083333333333331</v>
      </c>
      <c r="J28" s="2" t="s">
        <v>12</v>
      </c>
      <c r="K28" s="2" t="s">
        <v>12</v>
      </c>
      <c r="L28" s="2" t="s">
        <v>5</v>
      </c>
      <c r="M28" s="7">
        <v>109.2</v>
      </c>
      <c r="N28" s="3">
        <f>Table13[[#This Row],[Doses per inhaler1,2]]*Table13[[#This Row],[Indicative carbon footprint /puff (g CO2e) 
Midpoint value7,8]]</f>
        <v>13104</v>
      </c>
      <c r="O28" s="10" t="s">
        <v>671</v>
      </c>
      <c r="P28" s="3">
        <v>112</v>
      </c>
      <c r="Q28" s="3">
        <f>Table13[[#This Row],[Indicative carbon footprint /puff (g CO2e) 
Midpoint value7,8]]*Table13[[#This Row],[Number of puffs per 28 days1-4]]</f>
        <v>12230.4</v>
      </c>
      <c r="R28" s="16">
        <f>13*Table13[[#This Row],[Indicative carbon footprint per 28 days (g CO2e)]]</f>
        <v>158995.19999999998</v>
      </c>
      <c r="S28" s="3" t="str">
        <f>IF(Table13[[#This Row],[Indicative carbon footprint /puff (g CO2e) 
Midpoint value7,8]]&gt;=35,"High","Low")</f>
        <v>High</v>
      </c>
      <c r="T28" s="3"/>
      <c r="U28" s="1">
        <f>Table13[[#This Row],[Number of puffs per 28 days1-4]]*Table13[[#This Row],[Cost/puff 1,5-7]]</f>
        <v>30.333333333333332</v>
      </c>
      <c r="V28" s="1">
        <f>Table13[[#This Row],[Indicative cost per 28 days1,5]]*13</f>
        <v>394.33333333333331</v>
      </c>
      <c r="W28" s="1" t="s">
        <v>296</v>
      </c>
      <c r="X28" s="2" t="s">
        <v>14</v>
      </c>
      <c r="Y28" s="2" t="s">
        <v>210</v>
      </c>
      <c r="Z28" s="4" t="s">
        <v>71</v>
      </c>
      <c r="AC28" s="2" t="s">
        <v>291</v>
      </c>
      <c r="AD28" s="2" t="s">
        <v>295</v>
      </c>
      <c r="AE28" s="2" t="s">
        <v>63</v>
      </c>
      <c r="AF28" s="2" t="s">
        <v>63</v>
      </c>
      <c r="AG28" s="2" t="s">
        <v>63</v>
      </c>
      <c r="AH28" s="2" t="s">
        <v>63</v>
      </c>
      <c r="AI28" s="2" t="s">
        <v>63</v>
      </c>
      <c r="AJ28" s="2" t="s">
        <v>63</v>
      </c>
      <c r="AK28" s="2" t="s">
        <v>63</v>
      </c>
      <c r="AL28" s="2" t="s">
        <v>63</v>
      </c>
      <c r="AM28" s="2" t="s">
        <v>63</v>
      </c>
      <c r="AN28" s="2" t="s">
        <v>63</v>
      </c>
      <c r="AO28" s="2" t="s">
        <v>63</v>
      </c>
      <c r="AP28" s="2" t="s">
        <v>63</v>
      </c>
      <c r="AQ28" s="2" t="s">
        <v>63</v>
      </c>
      <c r="AR28" s="2" t="s">
        <v>63</v>
      </c>
      <c r="AS28" s="10" t="s">
        <v>313</v>
      </c>
    </row>
    <row r="29" spans="1:45" ht="45" x14ac:dyDescent="0.25">
      <c r="A29" s="2" t="s">
        <v>793</v>
      </c>
      <c r="B29" s="2" t="s">
        <v>174</v>
      </c>
      <c r="C29" s="2" t="s">
        <v>418</v>
      </c>
      <c r="D29" s="2" t="s">
        <v>792</v>
      </c>
      <c r="E29" s="2" t="s">
        <v>11</v>
      </c>
      <c r="F29" s="2" t="s">
        <v>19</v>
      </c>
      <c r="G29" s="2">
        <v>120</v>
      </c>
      <c r="H29" s="1">
        <v>13.98</v>
      </c>
      <c r="I29" s="1">
        <f t="shared" si="1"/>
        <v>0.11650000000000001</v>
      </c>
      <c r="J29" s="2" t="s">
        <v>12</v>
      </c>
      <c r="K29" s="2" t="s">
        <v>12</v>
      </c>
      <c r="L29" s="2" t="s">
        <v>99</v>
      </c>
      <c r="M29" s="2">
        <v>70</v>
      </c>
      <c r="N29" s="2">
        <v>10700</v>
      </c>
      <c r="O29" s="10" t="s">
        <v>669</v>
      </c>
      <c r="P29" s="3">
        <v>112</v>
      </c>
      <c r="Q29" s="3">
        <f>Table13[[#This Row],[Indicative carbon footprint /puff (g CO2e) 
Midpoint value7,8]]*Table13[[#This Row],[Number of puffs per 28 days1-4]]</f>
        <v>7840</v>
      </c>
      <c r="R29" s="3">
        <f>13*Table13[[#This Row],[Indicative carbon footprint per 28 days (g CO2e)]]</f>
        <v>101920</v>
      </c>
      <c r="S29" s="3" t="str">
        <f>IF(Table13[[#This Row],[Indicative carbon footprint /puff (g CO2e) 
Midpoint value7,8]]&gt;=35,"High","Low")</f>
        <v>High</v>
      </c>
      <c r="T29" s="3"/>
      <c r="U29" s="1">
        <f>Table13[[#This Row],[Number of puffs per 28 days1-4]]*Table13[[#This Row],[Cost/puff 1,5-7]]</f>
        <v>13.048</v>
      </c>
      <c r="V29" s="1">
        <f>Table13[[#This Row],[Indicative cost per 28 days1,5]]*13</f>
        <v>169.624</v>
      </c>
      <c r="W29" s="1"/>
      <c r="X29" s="2" t="s">
        <v>826</v>
      </c>
      <c r="Y29" s="2" t="s">
        <v>210</v>
      </c>
      <c r="Z29" s="4" t="s">
        <v>796</v>
      </c>
      <c r="AC29" s="11"/>
      <c r="AD29" s="12" t="s">
        <v>63</v>
      </c>
      <c r="AE29" s="2" t="s">
        <v>63</v>
      </c>
      <c r="AF29" s="2" t="s">
        <v>63</v>
      </c>
      <c r="AG29" s="2" t="s">
        <v>63</v>
      </c>
      <c r="AH29" s="2" t="s">
        <v>63</v>
      </c>
      <c r="AI29" s="2" t="s">
        <v>63</v>
      </c>
      <c r="AJ29" s="2" t="s">
        <v>63</v>
      </c>
      <c r="AK29" s="2" t="s">
        <v>63</v>
      </c>
      <c r="AL29" s="2" t="s">
        <v>63</v>
      </c>
      <c r="AM29" s="2" t="s">
        <v>63</v>
      </c>
      <c r="AN29" s="2" t="s">
        <v>63</v>
      </c>
      <c r="AO29" s="2" t="s">
        <v>63</v>
      </c>
      <c r="AP29" s="2" t="s">
        <v>63</v>
      </c>
      <c r="AQ29" s="2" t="s">
        <v>63</v>
      </c>
      <c r="AR29" s="2" t="s">
        <v>63</v>
      </c>
      <c r="AS29" s="10" t="s">
        <v>313</v>
      </c>
    </row>
    <row r="30" spans="1:45" ht="45" x14ac:dyDescent="0.25">
      <c r="A30" s="2" t="s">
        <v>794</v>
      </c>
      <c r="B30" s="2" t="s">
        <v>174</v>
      </c>
      <c r="C30" s="2" t="s">
        <v>420</v>
      </c>
      <c r="D30" s="2" t="s">
        <v>18</v>
      </c>
      <c r="E30" s="2" t="s">
        <v>11</v>
      </c>
      <c r="F30" s="2" t="s">
        <v>19</v>
      </c>
      <c r="G30" s="2">
        <v>120</v>
      </c>
      <c r="H30" s="1">
        <v>13.98</v>
      </c>
      <c r="I30" s="1">
        <f t="shared" si="1"/>
        <v>0.11650000000000001</v>
      </c>
      <c r="J30" s="2" t="s">
        <v>12</v>
      </c>
      <c r="K30" s="2" t="s">
        <v>12</v>
      </c>
      <c r="L30" s="2" t="s">
        <v>13</v>
      </c>
      <c r="M30" s="2">
        <v>85</v>
      </c>
      <c r="N30" s="2">
        <v>13450</v>
      </c>
      <c r="O30" s="10" t="s">
        <v>669</v>
      </c>
      <c r="P30" s="3">
        <v>112</v>
      </c>
      <c r="Q30" s="3">
        <f>Table13[[#This Row],[Indicative carbon footprint /puff (g CO2e) 
Midpoint value7,8]]*Table13[[#This Row],[Number of puffs per 28 days1-4]]</f>
        <v>9520</v>
      </c>
      <c r="R30" s="3">
        <f>13*Table13[[#This Row],[Indicative carbon footprint per 28 days (g CO2e)]]</f>
        <v>123760</v>
      </c>
      <c r="S30" s="3" t="str">
        <f>IF(Table13[[#This Row],[Indicative carbon footprint /puff (g CO2e) 
Midpoint value7,8]]&gt;=35,"High","Low")</f>
        <v>High</v>
      </c>
      <c r="T30" s="3"/>
      <c r="U30" s="1">
        <f>Table13[[#This Row],[Number of puffs per 28 days1-4]]*Table13[[#This Row],[Cost/puff 1,5-7]]</f>
        <v>13.048</v>
      </c>
      <c r="V30" s="1">
        <f>Table13[[#This Row],[Indicative cost per 28 days1,5]]*13</f>
        <v>169.624</v>
      </c>
      <c r="W30" s="1"/>
      <c r="X30" s="2" t="s">
        <v>826</v>
      </c>
      <c r="Y30" s="2" t="s">
        <v>210</v>
      </c>
      <c r="Z30" s="4" t="s">
        <v>795</v>
      </c>
      <c r="AC30" s="11"/>
      <c r="AD30" s="12" t="s">
        <v>63</v>
      </c>
      <c r="AE30" s="2" t="s">
        <v>63</v>
      </c>
      <c r="AF30" s="2" t="s">
        <v>63</v>
      </c>
      <c r="AG30" s="2" t="s">
        <v>63</v>
      </c>
      <c r="AH30" s="2" t="s">
        <v>63</v>
      </c>
      <c r="AI30" s="2" t="s">
        <v>63</v>
      </c>
      <c r="AJ30" s="2" t="s">
        <v>63</v>
      </c>
      <c r="AK30" s="2" t="s">
        <v>63</v>
      </c>
      <c r="AL30" s="2" t="s">
        <v>63</v>
      </c>
      <c r="AM30" s="2" t="s">
        <v>63</v>
      </c>
      <c r="AN30" s="2" t="s">
        <v>63</v>
      </c>
      <c r="AO30" s="2" t="s">
        <v>63</v>
      </c>
      <c r="AP30" s="2" t="s">
        <v>63</v>
      </c>
      <c r="AQ30" s="2" t="s">
        <v>63</v>
      </c>
      <c r="AR30" s="2" t="s">
        <v>63</v>
      </c>
      <c r="AS30" s="10" t="s">
        <v>313</v>
      </c>
    </row>
    <row r="31" spans="1:45" ht="30" x14ac:dyDescent="0.25">
      <c r="A31" s="2" t="s">
        <v>529</v>
      </c>
      <c r="B31" s="2" t="s">
        <v>23</v>
      </c>
      <c r="C31" s="2" t="s">
        <v>487</v>
      </c>
      <c r="D31" s="2" t="s">
        <v>43</v>
      </c>
      <c r="E31" s="2" t="s">
        <v>113</v>
      </c>
      <c r="F31" s="2" t="s">
        <v>6</v>
      </c>
      <c r="G31" s="2">
        <v>30</v>
      </c>
      <c r="H31" s="1">
        <v>25.8</v>
      </c>
      <c r="I31" s="1">
        <f t="shared" si="1"/>
        <v>0.86</v>
      </c>
      <c r="J31" s="2" t="s">
        <v>12</v>
      </c>
      <c r="K31" s="2" t="s">
        <v>12</v>
      </c>
      <c r="L31" s="2" t="s">
        <v>5</v>
      </c>
      <c r="M31" s="2">
        <v>18.75</v>
      </c>
      <c r="N31" s="2">
        <f>Table13[[#This Row],[Doses per inhaler1,2]]*Table13[[#This Row],[Indicative carbon footprint /puff (g CO2e) 
Midpoint value7,8]]</f>
        <v>562.5</v>
      </c>
      <c r="O31" s="10" t="s">
        <v>672</v>
      </c>
      <c r="P31" s="3">
        <v>28</v>
      </c>
      <c r="Q31" s="3">
        <f>Table13[[#This Row],[Indicative carbon footprint /puff (g CO2e) 
Midpoint value7,8]]*Table13[[#This Row],[Number of puffs per 28 days1-4]]</f>
        <v>525</v>
      </c>
      <c r="R31" s="3">
        <f>13*Table13[[#This Row],[Indicative carbon footprint per 28 days (g CO2e)]]</f>
        <v>6825</v>
      </c>
      <c r="S31" s="3" t="str">
        <f>IF(Table13[[#This Row],[Indicative carbon footprint /puff (g CO2e) 
Midpoint value7,8]]&gt;=35,"High","Low")</f>
        <v>Low</v>
      </c>
      <c r="T31" s="3"/>
      <c r="U31" s="1">
        <f>Table13[[#This Row],[Number of puffs per 28 days1-4]]*Table13[[#This Row],[Cost/puff 1,5-7]]</f>
        <v>24.08</v>
      </c>
      <c r="V31" s="1">
        <f>Table13[[#This Row],[Indicative cost per 28 days1,5]]*13</f>
        <v>313.03999999999996</v>
      </c>
      <c r="W31" s="1"/>
      <c r="X31" s="2" t="s">
        <v>7</v>
      </c>
      <c r="Y31" s="2" t="s">
        <v>5</v>
      </c>
      <c r="Z31" s="4" t="s">
        <v>278</v>
      </c>
      <c r="AB31" s="2" t="s">
        <v>17</v>
      </c>
      <c r="AC31" s="9" t="s">
        <v>5</v>
      </c>
      <c r="AD31" s="2" t="s">
        <v>63</v>
      </c>
      <c r="AE31" s="2" t="s">
        <v>63</v>
      </c>
      <c r="AF31" s="2" t="s">
        <v>63</v>
      </c>
      <c r="AG31" s="2" t="s">
        <v>63</v>
      </c>
      <c r="AH31" s="2" t="s">
        <v>63</v>
      </c>
      <c r="AI31" s="2" t="s">
        <v>63</v>
      </c>
      <c r="AJ31" s="2" t="s">
        <v>63</v>
      </c>
      <c r="AK31" s="2" t="s">
        <v>63</v>
      </c>
      <c r="AL31" s="2" t="s">
        <v>63</v>
      </c>
      <c r="AM31" s="2" t="s">
        <v>63</v>
      </c>
      <c r="AN31" s="2" t="s">
        <v>63</v>
      </c>
      <c r="AO31" s="2" t="s">
        <v>63</v>
      </c>
      <c r="AP31" s="2" t="s">
        <v>63</v>
      </c>
      <c r="AQ31" s="2" t="s">
        <v>63</v>
      </c>
      <c r="AR31" s="2" t="s">
        <v>63</v>
      </c>
      <c r="AS31" s="2" t="s">
        <v>310</v>
      </c>
    </row>
    <row r="32" spans="1:45" ht="75" x14ac:dyDescent="0.25">
      <c r="A32" s="2" t="s">
        <v>362</v>
      </c>
      <c r="B32" s="2" t="s">
        <v>35</v>
      </c>
      <c r="C32" s="2" t="s">
        <v>363</v>
      </c>
      <c r="D32" s="2" t="s">
        <v>24</v>
      </c>
      <c r="E32" s="2" t="s">
        <v>25</v>
      </c>
      <c r="F32" s="2" t="s">
        <v>6</v>
      </c>
      <c r="G32" s="2">
        <v>120</v>
      </c>
      <c r="H32" s="1">
        <v>8.3000000000000007</v>
      </c>
      <c r="I32" s="1">
        <f t="shared" si="1"/>
        <v>6.9166666666666668E-2</v>
      </c>
      <c r="J32" s="2" t="s">
        <v>72</v>
      </c>
      <c r="K32" s="2" t="s">
        <v>72</v>
      </c>
      <c r="L32" s="2" t="s">
        <v>5</v>
      </c>
      <c r="M32" s="2">
        <v>4.0999999999999996</v>
      </c>
      <c r="N32" s="2">
        <f>Table13[[#This Row],[Doses per inhaler1,2]]*Table13[[#This Row],[Indicative carbon footprint /puff (g CO2e) 
Midpoint value7,8]]</f>
        <v>491.99999999999994</v>
      </c>
      <c r="O32" s="10" t="s">
        <v>671</v>
      </c>
      <c r="P32" s="3">
        <v>28</v>
      </c>
      <c r="Q32" s="29">
        <f>Table13[[#This Row],[Indicative carbon footprint /puff (g CO2e) 
Midpoint value7,8]]*Table13[[#This Row],[Number of puffs per 28 days1-4]]</f>
        <v>114.79999999999998</v>
      </c>
      <c r="R32" s="29">
        <f>13*Table13[[#This Row],[Indicative carbon footprint per 28 days (g CO2e)]]</f>
        <v>1492.3999999999999</v>
      </c>
      <c r="S32" s="3" t="str">
        <f>IF(Table13[[#This Row],[Indicative carbon footprint /puff (g CO2e) 
Midpoint value7,8]]&gt;=35,"High","Low")</f>
        <v>Low</v>
      </c>
      <c r="T32" s="3"/>
      <c r="U32" s="30">
        <f>Table13[[#This Row],[Number of puffs per 28 days1-4]]*Table13[[#This Row],[Cost/puff 1,5-7]]</f>
        <v>1.9366666666666668</v>
      </c>
      <c r="V32" s="1">
        <f>Table13[[#This Row],[Indicative cost per 28 days1,5]]*13</f>
        <v>25.176666666666669</v>
      </c>
      <c r="W32" s="32"/>
      <c r="X32" s="2" t="s">
        <v>14</v>
      </c>
      <c r="Y32" s="2" t="s">
        <v>5</v>
      </c>
      <c r="Z32" s="4" t="s">
        <v>695</v>
      </c>
      <c r="AB32" s="2" t="s">
        <v>17</v>
      </c>
      <c r="AD32" s="2" t="s">
        <v>295</v>
      </c>
      <c r="AE32" s="2" t="s">
        <v>63</v>
      </c>
      <c r="AF32" s="2" t="s">
        <v>63</v>
      </c>
      <c r="AG32" s="2" t="s">
        <v>63</v>
      </c>
      <c r="AH32" s="2" t="s">
        <v>63</v>
      </c>
      <c r="AI32" s="2" t="s">
        <v>63</v>
      </c>
      <c r="AJ32" s="2" t="s">
        <v>63</v>
      </c>
      <c r="AK32" s="2" t="s">
        <v>63</v>
      </c>
      <c r="AL32" s="2" t="s">
        <v>63</v>
      </c>
      <c r="AM32" s="2" t="s">
        <v>63</v>
      </c>
      <c r="AN32" s="2" t="s">
        <v>63</v>
      </c>
      <c r="AO32" s="2" t="s">
        <v>63</v>
      </c>
      <c r="AP32" s="2" t="s">
        <v>63</v>
      </c>
      <c r="AQ32" s="2" t="s">
        <v>63</v>
      </c>
      <c r="AR32" s="2" t="s">
        <v>63</v>
      </c>
      <c r="AS32" s="10" t="s">
        <v>310</v>
      </c>
    </row>
    <row r="33" spans="1:45" ht="30" x14ac:dyDescent="0.25">
      <c r="A33" s="2" t="s">
        <v>364</v>
      </c>
      <c r="B33" s="2" t="s">
        <v>32</v>
      </c>
      <c r="C33" s="2" t="s">
        <v>365</v>
      </c>
      <c r="D33" s="2" t="s">
        <v>18</v>
      </c>
      <c r="E33" s="2" t="s">
        <v>36</v>
      </c>
      <c r="F33" s="2" t="s">
        <v>6</v>
      </c>
      <c r="G33" s="2">
        <v>100</v>
      </c>
      <c r="H33" s="1">
        <v>9.59</v>
      </c>
      <c r="I33" s="1">
        <f t="shared" si="1"/>
        <v>9.5899999999999999E-2</v>
      </c>
      <c r="J33" s="2" t="s">
        <v>76</v>
      </c>
      <c r="K33" s="2" t="s">
        <v>77</v>
      </c>
      <c r="L33" s="2" t="s">
        <v>5</v>
      </c>
      <c r="M33" s="2">
        <v>18.75</v>
      </c>
      <c r="N33" s="2">
        <f>Table13[[#This Row],[Doses per inhaler1,2]]*Table13[[#This Row],[Indicative carbon footprint /puff (g CO2e) 
Midpoint value7,8]]</f>
        <v>1875</v>
      </c>
      <c r="O33" s="10" t="s">
        <v>676</v>
      </c>
      <c r="P33" s="3">
        <v>56</v>
      </c>
      <c r="Q33" s="29">
        <f>Table13[[#This Row],[Indicative carbon footprint /puff (g CO2e) 
Midpoint value7,8]]*Table13[[#This Row],[Number of puffs per 28 days1-4]]</f>
        <v>1050</v>
      </c>
      <c r="R33" s="29">
        <f>13*Table13[[#This Row],[Indicative carbon footprint per 28 days (g CO2e)]]</f>
        <v>13650</v>
      </c>
      <c r="S33" s="3" t="str">
        <f>IF(Table13[[#This Row],[Indicative carbon footprint /puff (g CO2e) 
Midpoint value7,8]]&gt;=35,"High","Low")</f>
        <v>Low</v>
      </c>
      <c r="T33" s="3"/>
      <c r="U33" s="30">
        <f>Table13[[#This Row],[Number of puffs per 28 days1-4]]*Table13[[#This Row],[Cost/puff 1,5-7]]</f>
        <v>5.3704000000000001</v>
      </c>
      <c r="V33" s="1">
        <f>Table13[[#This Row],[Indicative cost per 28 days1,5]]*13</f>
        <v>69.815200000000004</v>
      </c>
      <c r="W33" s="32"/>
      <c r="X33" s="2" t="s">
        <v>7</v>
      </c>
      <c r="Y33" s="2" t="s">
        <v>5</v>
      </c>
      <c r="Z33" s="4" t="s">
        <v>78</v>
      </c>
      <c r="AB33" s="2" t="s">
        <v>17</v>
      </c>
      <c r="AD33" s="2" t="s">
        <v>63</v>
      </c>
      <c r="AE33" s="2" t="s">
        <v>63</v>
      </c>
      <c r="AF33" s="2" t="s">
        <v>63</v>
      </c>
      <c r="AG33" s="2" t="s">
        <v>63</v>
      </c>
      <c r="AH33" s="2" t="s">
        <v>63</v>
      </c>
      <c r="AI33" s="2" t="s">
        <v>63</v>
      </c>
      <c r="AJ33" s="2" t="s">
        <v>63</v>
      </c>
      <c r="AK33" s="2" t="s">
        <v>63</v>
      </c>
      <c r="AL33" s="2" t="s">
        <v>63</v>
      </c>
      <c r="AM33" s="2" t="s">
        <v>63</v>
      </c>
      <c r="AN33" s="2" t="s">
        <v>63</v>
      </c>
      <c r="AO33" s="2" t="s">
        <v>63</v>
      </c>
      <c r="AP33" s="2" t="s">
        <v>63</v>
      </c>
      <c r="AQ33" s="2" t="s">
        <v>63</v>
      </c>
      <c r="AR33" s="2" t="s">
        <v>63</v>
      </c>
      <c r="AS33" s="10" t="s">
        <v>310</v>
      </c>
    </row>
    <row r="34" spans="1:45" ht="30" x14ac:dyDescent="0.25">
      <c r="A34" s="2" t="s">
        <v>364</v>
      </c>
      <c r="B34" s="2" t="s">
        <v>32</v>
      </c>
      <c r="C34" s="2" t="s">
        <v>366</v>
      </c>
      <c r="D34" s="2" t="s">
        <v>18</v>
      </c>
      <c r="E34" s="2" t="s">
        <v>36</v>
      </c>
      <c r="F34" s="2" t="s">
        <v>6</v>
      </c>
      <c r="G34" s="2">
        <v>100</v>
      </c>
      <c r="H34" s="1">
        <v>14.86</v>
      </c>
      <c r="I34" s="1">
        <f t="shared" si="1"/>
        <v>0.14859999999999998</v>
      </c>
      <c r="J34" s="2" t="s">
        <v>76</v>
      </c>
      <c r="K34" s="2" t="s">
        <v>77</v>
      </c>
      <c r="L34" s="2" t="s">
        <v>5</v>
      </c>
      <c r="M34" s="2">
        <v>18.75</v>
      </c>
      <c r="N34" s="2">
        <f>Table13[[#This Row],[Doses per inhaler1,2]]*Table13[[#This Row],[Indicative carbon footprint /puff (g CO2e) 
Midpoint value7,8]]</f>
        <v>1875</v>
      </c>
      <c r="O34" s="10" t="s">
        <v>676</v>
      </c>
      <c r="P34" s="3">
        <v>56</v>
      </c>
      <c r="Q34" s="3">
        <f>Table13[[#This Row],[Indicative carbon footprint /puff (g CO2e) 
Midpoint value7,8]]*Table13[[#This Row],[Number of puffs per 28 days1-4]]</f>
        <v>1050</v>
      </c>
      <c r="R34" s="3">
        <f>13*Table13[[#This Row],[Indicative carbon footprint per 28 days (g CO2e)]]</f>
        <v>13650</v>
      </c>
      <c r="S34" s="3" t="str">
        <f>IF(Table13[[#This Row],[Indicative carbon footprint /puff (g CO2e) 
Midpoint value7,8]]&gt;=35,"High","Low")</f>
        <v>Low</v>
      </c>
      <c r="T34" s="3"/>
      <c r="U34" s="1">
        <f>Table13[[#This Row],[Number of puffs per 28 days1-4]]*Table13[[#This Row],[Cost/puff 1,5-7]]</f>
        <v>8.3215999999999983</v>
      </c>
      <c r="V34" s="1">
        <f>Table13[[#This Row],[Indicative cost per 28 days1,5]]*13</f>
        <v>108.18079999999998</v>
      </c>
      <c r="W34" s="1"/>
      <c r="X34" s="2" t="s">
        <v>7</v>
      </c>
      <c r="Y34" s="2" t="s">
        <v>5</v>
      </c>
      <c r="Z34" s="4" t="s">
        <v>685</v>
      </c>
      <c r="AB34" s="2" t="s">
        <v>17</v>
      </c>
      <c r="AD34" s="2" t="s">
        <v>63</v>
      </c>
      <c r="AE34" s="2" t="s">
        <v>63</v>
      </c>
      <c r="AF34" s="2" t="s">
        <v>63</v>
      </c>
      <c r="AG34" s="2" t="s">
        <v>63</v>
      </c>
      <c r="AH34" s="2" t="s">
        <v>63</v>
      </c>
      <c r="AI34" s="2" t="s">
        <v>63</v>
      </c>
      <c r="AJ34" s="2" t="s">
        <v>63</v>
      </c>
      <c r="AK34" s="2" t="s">
        <v>63</v>
      </c>
      <c r="AL34" s="2" t="s">
        <v>63</v>
      </c>
      <c r="AM34" s="2" t="s">
        <v>63</v>
      </c>
      <c r="AN34" s="2" t="s">
        <v>63</v>
      </c>
      <c r="AO34" s="2" t="s">
        <v>63</v>
      </c>
      <c r="AP34" s="2" t="s">
        <v>63</v>
      </c>
      <c r="AQ34" s="2" t="s">
        <v>63</v>
      </c>
      <c r="AR34" s="2" t="s">
        <v>63</v>
      </c>
      <c r="AS34" s="10" t="s">
        <v>312</v>
      </c>
    </row>
    <row r="35" spans="1:45" ht="30" x14ac:dyDescent="0.25">
      <c r="A35" s="2" t="s">
        <v>938</v>
      </c>
      <c r="B35" s="2" t="s">
        <v>933</v>
      </c>
      <c r="C35" s="2" t="s">
        <v>348</v>
      </c>
      <c r="D35" s="2" t="s">
        <v>18</v>
      </c>
      <c r="E35" s="2" t="s">
        <v>36</v>
      </c>
      <c r="F35" s="2" t="s">
        <v>19</v>
      </c>
      <c r="G35" s="2">
        <v>120</v>
      </c>
      <c r="H35" s="1">
        <v>34.76</v>
      </c>
      <c r="I35" s="1">
        <f t="shared" si="1"/>
        <v>0.28966666666666663</v>
      </c>
      <c r="J35" s="2" t="s">
        <v>37</v>
      </c>
      <c r="K35" s="2" t="s">
        <v>37</v>
      </c>
      <c r="L35" s="2" t="s">
        <v>5</v>
      </c>
      <c r="M35" s="2">
        <v>101.75</v>
      </c>
      <c r="N35" s="2">
        <v>12210</v>
      </c>
      <c r="O35" s="1" t="s">
        <v>63</v>
      </c>
      <c r="P35" s="3">
        <v>28</v>
      </c>
      <c r="Q35" s="3">
        <v>2849</v>
      </c>
      <c r="R35" s="3">
        <v>37037</v>
      </c>
      <c r="S35" s="3" t="e">
        <f>IF([1]!Table13[[#This Row],[Indicative carbon footprint /puff (g CO2e) 
Midpoint value7,8]]&gt;=35,"High","Low")</f>
        <v>#REF!</v>
      </c>
      <c r="T35" s="1" t="s">
        <v>63</v>
      </c>
      <c r="U35" s="1">
        <v>8.1106666666666651</v>
      </c>
      <c r="V35" s="1">
        <v>105.43866666666665</v>
      </c>
      <c r="W35" s="2" t="s">
        <v>934</v>
      </c>
      <c r="X35" s="2" t="s">
        <v>7</v>
      </c>
      <c r="Y35" s="11" t="s">
        <v>210</v>
      </c>
      <c r="Z35" s="2" t="s">
        <v>935</v>
      </c>
      <c r="AB35" s="12"/>
      <c r="AC35" s="2" t="s">
        <v>936</v>
      </c>
      <c r="AD35" s="2" t="s">
        <v>63</v>
      </c>
      <c r="AE35" s="2" t="s">
        <v>63</v>
      </c>
      <c r="AF35" s="2" t="s">
        <v>63</v>
      </c>
      <c r="AG35" s="2" t="s">
        <v>63</v>
      </c>
      <c r="AH35" s="2" t="s">
        <v>63</v>
      </c>
      <c r="AI35" s="2" t="s">
        <v>63</v>
      </c>
      <c r="AJ35" s="2" t="s">
        <v>63</v>
      </c>
      <c r="AK35" s="2" t="s">
        <v>63</v>
      </c>
      <c r="AL35" s="2" t="s">
        <v>63</v>
      </c>
      <c r="AM35" s="2" t="s">
        <v>63</v>
      </c>
      <c r="AN35" s="2" t="s">
        <v>63</v>
      </c>
      <c r="AO35" s="2" t="s">
        <v>63</v>
      </c>
      <c r="AP35" s="2" t="s">
        <v>63</v>
      </c>
      <c r="AQ35" s="2" t="s">
        <v>63</v>
      </c>
      <c r="AS35" s="2" t="s">
        <v>312</v>
      </c>
    </row>
    <row r="36" spans="1:45" ht="30" x14ac:dyDescent="0.25">
      <c r="A36" s="2" t="s">
        <v>939</v>
      </c>
      <c r="B36" s="2" t="s">
        <v>933</v>
      </c>
      <c r="C36" s="2" t="s">
        <v>350</v>
      </c>
      <c r="D36" s="2" t="s">
        <v>18</v>
      </c>
      <c r="E36" s="2" t="s">
        <v>36</v>
      </c>
      <c r="F36" s="2" t="s">
        <v>19</v>
      </c>
      <c r="G36" s="2">
        <v>120</v>
      </c>
      <c r="H36" s="1">
        <v>29.55</v>
      </c>
      <c r="I36" s="1">
        <f t="shared" si="1"/>
        <v>0.24625</v>
      </c>
      <c r="J36" s="2" t="s">
        <v>37</v>
      </c>
      <c r="K36" s="2" t="s">
        <v>37</v>
      </c>
      <c r="L36" s="2" t="s">
        <v>5</v>
      </c>
      <c r="M36" s="2">
        <v>101.75</v>
      </c>
      <c r="N36" s="2">
        <v>12210</v>
      </c>
      <c r="O36" s="1" t="s">
        <v>63</v>
      </c>
      <c r="P36" s="3">
        <v>28</v>
      </c>
      <c r="Q36" s="3">
        <v>2849</v>
      </c>
      <c r="R36" s="3">
        <v>37037</v>
      </c>
      <c r="S36" s="3" t="e">
        <f>IF([1]!Table13[[#This Row],[Indicative carbon footprint /puff (g CO2e) 
Midpoint value7,8]]&gt;=35,"High","Low")</f>
        <v>#REF!</v>
      </c>
      <c r="T36" s="1" t="s">
        <v>63</v>
      </c>
      <c r="U36" s="1">
        <v>6.8949999999999996</v>
      </c>
      <c r="V36" s="1">
        <v>89.634999999999991</v>
      </c>
      <c r="W36" s="2" t="s">
        <v>934</v>
      </c>
      <c r="X36" s="2" t="s">
        <v>7</v>
      </c>
      <c r="Y36" s="11" t="s">
        <v>210</v>
      </c>
      <c r="Z36" s="2" t="s">
        <v>937</v>
      </c>
      <c r="AB36" s="12"/>
      <c r="AC36" s="2" t="s">
        <v>936</v>
      </c>
      <c r="AD36" s="2" t="s">
        <v>63</v>
      </c>
      <c r="AE36" s="2" t="s">
        <v>63</v>
      </c>
      <c r="AF36" s="2" t="s">
        <v>63</v>
      </c>
      <c r="AG36" s="2" t="s">
        <v>63</v>
      </c>
      <c r="AH36" s="2" t="s">
        <v>63</v>
      </c>
      <c r="AI36" s="2" t="s">
        <v>63</v>
      </c>
      <c r="AJ36" s="2" t="s">
        <v>63</v>
      </c>
      <c r="AK36" s="2" t="s">
        <v>63</v>
      </c>
      <c r="AL36" s="2" t="s">
        <v>63</v>
      </c>
      <c r="AM36" s="2" t="s">
        <v>63</v>
      </c>
      <c r="AN36" s="2" t="s">
        <v>63</v>
      </c>
      <c r="AO36" s="2" t="s">
        <v>63</v>
      </c>
      <c r="AP36" s="2" t="s">
        <v>63</v>
      </c>
      <c r="AQ36" s="2" t="s">
        <v>63</v>
      </c>
      <c r="AS36" s="2" t="s">
        <v>312</v>
      </c>
    </row>
    <row r="37" spans="1:45" ht="120" x14ac:dyDescent="0.2">
      <c r="A37" s="2" t="s">
        <v>367</v>
      </c>
      <c r="B37" s="2" t="s">
        <v>60</v>
      </c>
      <c r="C37" s="2" t="s">
        <v>368</v>
      </c>
      <c r="D37" s="2" t="s">
        <v>18</v>
      </c>
      <c r="E37" s="2" t="s">
        <v>36</v>
      </c>
      <c r="F37" s="2" t="s">
        <v>19</v>
      </c>
      <c r="G37" s="2">
        <v>200</v>
      </c>
      <c r="H37" s="1">
        <v>7.42</v>
      </c>
      <c r="I37" s="1">
        <f t="shared" si="1"/>
        <v>3.7100000000000001E-2</v>
      </c>
      <c r="J37" s="2" t="s">
        <v>249</v>
      </c>
      <c r="K37" s="2" t="s">
        <v>79</v>
      </c>
      <c r="L37" s="2" t="s">
        <v>5</v>
      </c>
      <c r="M37" s="2">
        <v>82.76</v>
      </c>
      <c r="N37" s="2">
        <f>Table13[[#This Row],[Doses per inhaler1,2]]*Table13[[#This Row],[Indicative carbon footprint /puff (g CO2e) 
Midpoint value7,8]]</f>
        <v>16552</v>
      </c>
      <c r="O37" s="10" t="s">
        <v>671</v>
      </c>
      <c r="P37" s="3">
        <v>112</v>
      </c>
      <c r="Q37" s="3">
        <f>Table13[[#This Row],[Indicative carbon footprint /puff (g CO2e) 
Midpoint value7,8]]*Table13[[#This Row],[Number of puffs per 28 days1-4]]</f>
        <v>9269.1200000000008</v>
      </c>
      <c r="R37" s="3">
        <f>13*Table13[[#This Row],[Indicative carbon footprint per 28 days (g CO2e)]]</f>
        <v>120498.56000000001</v>
      </c>
      <c r="S37" s="3" t="str">
        <f>IF(Table13[[#This Row],[Indicative carbon footprint /puff (g CO2e) 
Midpoint value7,8]]&gt;=35,"High","Low")</f>
        <v>High</v>
      </c>
      <c r="T37" s="3" t="s">
        <v>734</v>
      </c>
      <c r="U37" s="1">
        <f>Table13[[#This Row],[Number of puffs per 28 days1-4]]*Table13[[#This Row],[Cost/puff 1,5-7]]</f>
        <v>4.1551999999999998</v>
      </c>
      <c r="V37" s="1">
        <f>Table13[[#This Row],[Indicative cost per 28 days1,5]]*13</f>
        <v>54.017599999999995</v>
      </c>
      <c r="W37" s="1"/>
      <c r="X37" s="2" t="s">
        <v>14</v>
      </c>
      <c r="Y37" s="2" t="s">
        <v>210</v>
      </c>
      <c r="Z37" s="4" t="s">
        <v>80</v>
      </c>
      <c r="AA37" s="2" t="s">
        <v>16</v>
      </c>
      <c r="AD37" s="2" t="s">
        <v>81</v>
      </c>
      <c r="AE37" s="11">
        <f>1.15*Table13[[#This Row],[Doses per inhaler1,2]]</f>
        <v>229.99999999999997</v>
      </c>
      <c r="AF37" s="11">
        <f>0.49*Table13[[#This Row],[Doses per inhaler1,2]]</f>
        <v>98</v>
      </c>
      <c r="AG37" s="2">
        <f>0.66*Table13[[#This Row],[Doses per inhaler1,2]]</f>
        <v>132</v>
      </c>
      <c r="AH37" s="11">
        <f>0.07*Table13[[#This Row],[Doses per inhaler1,2]]</f>
        <v>14.000000000000002</v>
      </c>
      <c r="AI37" s="2">
        <f>0.81*Table13[[#This Row],[Doses per inhaler1,2]]</f>
        <v>162</v>
      </c>
      <c r="AJ37" s="11">
        <v>0</v>
      </c>
      <c r="AK37" s="11">
        <f>1.07*Table13[[#This Row],[Doses per inhaler1,2]]</f>
        <v>214</v>
      </c>
      <c r="AL37" s="11">
        <f>0.22*Table13[[#This Row],[Doses per inhaler1,2]]</f>
        <v>44</v>
      </c>
      <c r="AM37" s="11">
        <f>65.75*Table13[[#This Row],[Doses per inhaler1,2]]</f>
        <v>13150</v>
      </c>
      <c r="AN37" s="11">
        <f>12.53*Table13[[#This Row],[Doses per inhaler1,2]]</f>
        <v>2506</v>
      </c>
      <c r="AO37" s="2" t="s">
        <v>63</v>
      </c>
      <c r="AP37" s="2" t="s">
        <v>16</v>
      </c>
      <c r="AQ37" s="48" t="s">
        <v>923</v>
      </c>
      <c r="AR37" s="2" t="s">
        <v>63</v>
      </c>
      <c r="AS37" s="10" t="s">
        <v>312</v>
      </c>
    </row>
    <row r="38" spans="1:45" ht="120" x14ac:dyDescent="0.2">
      <c r="A38" s="2" t="s">
        <v>369</v>
      </c>
      <c r="B38" s="2" t="s">
        <v>60</v>
      </c>
      <c r="C38" s="2" t="s">
        <v>370</v>
      </c>
      <c r="D38" s="2" t="s">
        <v>18</v>
      </c>
      <c r="E38" s="2" t="s">
        <v>36</v>
      </c>
      <c r="F38" s="2" t="s">
        <v>19</v>
      </c>
      <c r="G38" s="2">
        <v>200</v>
      </c>
      <c r="H38" s="1">
        <v>16.170000000000002</v>
      </c>
      <c r="I38" s="1">
        <f t="shared" si="1"/>
        <v>8.0850000000000005E-2</v>
      </c>
      <c r="J38" s="2" t="s">
        <v>505</v>
      </c>
      <c r="K38" s="2" t="s">
        <v>79</v>
      </c>
      <c r="L38" s="2" t="s">
        <v>5</v>
      </c>
      <c r="M38" s="2">
        <v>81.61</v>
      </c>
      <c r="N38" s="2">
        <f>Table13[[#This Row],[Doses per inhaler1,2]]*Table13[[#This Row],[Indicative carbon footprint /puff (g CO2e) 
Midpoint value7,8]]</f>
        <v>16322</v>
      </c>
      <c r="O38" s="10" t="s">
        <v>671</v>
      </c>
      <c r="P38" s="3">
        <v>56</v>
      </c>
      <c r="Q38" s="3">
        <f>Table13[[#This Row],[Indicative carbon footprint /puff (g CO2e) 
Midpoint value7,8]]*Table13[[#This Row],[Number of puffs per 28 days1-4]]</f>
        <v>4570.16</v>
      </c>
      <c r="R38" s="3">
        <f>13*Table13[[#This Row],[Indicative carbon footprint per 28 days (g CO2e)]]</f>
        <v>59412.08</v>
      </c>
      <c r="S38" s="3" t="str">
        <f>IF(Table13[[#This Row],[Indicative carbon footprint /puff (g CO2e) 
Midpoint value7,8]]&gt;=35,"High","Low")</f>
        <v>High</v>
      </c>
      <c r="T38" s="3" t="s">
        <v>734</v>
      </c>
      <c r="U38" s="1">
        <f>Table13[[#This Row],[Number of puffs per 28 days1-4]]*Table13[[#This Row],[Cost/puff 1,5-7]]</f>
        <v>4.5276000000000005</v>
      </c>
      <c r="V38" s="1">
        <f>Table13[[#This Row],[Indicative cost per 28 days1,5]]*13</f>
        <v>58.858800000000009</v>
      </c>
      <c r="W38" s="1"/>
      <c r="X38" s="2" t="s">
        <v>14</v>
      </c>
      <c r="Y38" s="2" t="s">
        <v>210</v>
      </c>
      <c r="Z38" s="4" t="s">
        <v>82</v>
      </c>
      <c r="AA38" s="2" t="s">
        <v>16</v>
      </c>
      <c r="AD38" s="2" t="s">
        <v>81</v>
      </c>
      <c r="AE38" s="11">
        <f>1.14*Table13[[#This Row],[Doses per inhaler1,2]]</f>
        <v>227.99999999999997</v>
      </c>
      <c r="AF38" s="11">
        <f>0.49*Table13[[#This Row],[Doses per inhaler1,2]]</f>
        <v>98</v>
      </c>
      <c r="AG38" s="2">
        <f>0.66*Table13[[#This Row],[Doses per inhaler1,2]]</f>
        <v>132</v>
      </c>
      <c r="AH38" s="11">
        <f>0.07*Table13[[#This Row],[Doses per inhaler1,2]]</f>
        <v>14.000000000000002</v>
      </c>
      <c r="AI38" s="2">
        <f>0.81*Table13[[#This Row],[Doses per inhaler1,2]]</f>
        <v>162</v>
      </c>
      <c r="AJ38" s="11">
        <v>0</v>
      </c>
      <c r="AK38" s="11">
        <f>1.06*Table13[[#This Row],[Doses per inhaler1,2]]</f>
        <v>212</v>
      </c>
      <c r="AL38" s="11">
        <f>0.22*Table13[[#This Row],[Doses per inhaler1,2]]</f>
        <v>44</v>
      </c>
      <c r="AM38" s="11">
        <f>64.8*Table13[[#This Row],[Doses per inhaler1,2]]</f>
        <v>12960</v>
      </c>
      <c r="AN38" s="11">
        <f>12.35*Table13[[#This Row],[Doses per inhaler1,2]]</f>
        <v>2470</v>
      </c>
      <c r="AO38" s="2" t="s">
        <v>63</v>
      </c>
      <c r="AP38" s="2" t="s">
        <v>16</v>
      </c>
      <c r="AQ38" s="48" t="s">
        <v>923</v>
      </c>
      <c r="AR38" s="2" t="s">
        <v>63</v>
      </c>
      <c r="AS38" s="10" t="s">
        <v>312</v>
      </c>
    </row>
    <row r="39" spans="1:45" ht="120" x14ac:dyDescent="0.2">
      <c r="A39" s="2" t="s">
        <v>371</v>
      </c>
      <c r="B39" s="2" t="s">
        <v>60</v>
      </c>
      <c r="C39" s="2" t="s">
        <v>372</v>
      </c>
      <c r="D39" s="2" t="s">
        <v>18</v>
      </c>
      <c r="E39" s="2" t="s">
        <v>36</v>
      </c>
      <c r="F39" s="2" t="s">
        <v>19</v>
      </c>
      <c r="G39" s="2">
        <v>200</v>
      </c>
      <c r="H39" s="1">
        <v>16.29</v>
      </c>
      <c r="I39" s="1">
        <f t="shared" si="1"/>
        <v>8.1449999999999995E-2</v>
      </c>
      <c r="J39" s="2" t="s">
        <v>505</v>
      </c>
      <c r="K39" s="2" t="s">
        <v>79</v>
      </c>
      <c r="L39" s="2" t="s">
        <v>5</v>
      </c>
      <c r="M39" s="2">
        <v>80.459999999999994</v>
      </c>
      <c r="N39" s="2">
        <f>Table13[[#This Row],[Doses per inhaler1,2]]*Table13[[#This Row],[Indicative carbon footprint /puff (g CO2e) 
Midpoint value7,8]]</f>
        <v>16091.999999999998</v>
      </c>
      <c r="O39" s="10" t="s">
        <v>671</v>
      </c>
      <c r="P39" s="3">
        <v>112</v>
      </c>
      <c r="Q39" s="3">
        <f>Table13[[#This Row],[Indicative carbon footprint /puff (g CO2e) 
Midpoint value7,8]]*Table13[[#This Row],[Number of puffs per 28 days1-4]]</f>
        <v>9011.5199999999986</v>
      </c>
      <c r="R39" s="3">
        <f>13*Table13[[#This Row],[Indicative carbon footprint per 28 days (g CO2e)]]</f>
        <v>117149.75999999998</v>
      </c>
      <c r="S39" s="3" t="str">
        <f>IF(Table13[[#This Row],[Indicative carbon footprint /puff (g CO2e) 
Midpoint value7,8]]&gt;=35,"High","Low")</f>
        <v>High</v>
      </c>
      <c r="T39" s="3" t="s">
        <v>734</v>
      </c>
      <c r="U39" s="1">
        <f>Table13[[#This Row],[Number of puffs per 28 days1-4]]*Table13[[#This Row],[Cost/puff 1,5-7]]</f>
        <v>9.122399999999999</v>
      </c>
      <c r="V39" s="1">
        <f>Table13[[#This Row],[Indicative cost per 28 days1,5]]*13</f>
        <v>118.59119999999999</v>
      </c>
      <c r="W39" s="1"/>
      <c r="X39" s="2" t="s">
        <v>14</v>
      </c>
      <c r="Y39" s="2" t="s">
        <v>210</v>
      </c>
      <c r="Z39" s="4" t="s">
        <v>83</v>
      </c>
      <c r="AA39" s="2" t="s">
        <v>16</v>
      </c>
      <c r="AD39" s="2" t="s">
        <v>81</v>
      </c>
      <c r="AE39" s="11">
        <f>1.13*Table13[[#This Row],[Doses per inhaler1,2]]</f>
        <v>225.99999999999997</v>
      </c>
      <c r="AF39" s="11">
        <f>0.49*Table13[[#This Row],[Doses per inhaler1,2]]</f>
        <v>98</v>
      </c>
      <c r="AG39" s="2">
        <f>0.66*Table13[[#This Row],[Doses per inhaler1,2]]</f>
        <v>132</v>
      </c>
      <c r="AH39" s="11">
        <f>0.07*Table13[[#This Row],[Doses per inhaler1,2]]</f>
        <v>14.000000000000002</v>
      </c>
      <c r="AI39" s="2">
        <f>0.81*Table13[[#This Row],[Doses per inhaler1,2]]</f>
        <v>162</v>
      </c>
      <c r="AJ39" s="11">
        <v>0</v>
      </c>
      <c r="AK39" s="11">
        <f>1.06*Table13[[#This Row],[Doses per inhaler1,2]]</f>
        <v>212</v>
      </c>
      <c r="AL39" s="11">
        <f>0.22*Table13[[#This Row],[Doses per inhaler1,2]]</f>
        <v>44</v>
      </c>
      <c r="AM39" s="11">
        <f>63.86*Table13[[#This Row],[Doses per inhaler1,2]]</f>
        <v>12772</v>
      </c>
      <c r="AN39" s="11">
        <f>12.17*Table13[[#This Row],[Doses per inhaler1,2]]</f>
        <v>2434</v>
      </c>
      <c r="AO39" s="2" t="s">
        <v>63</v>
      </c>
      <c r="AP39" s="2" t="s">
        <v>5</v>
      </c>
      <c r="AQ39" s="48" t="s">
        <v>923</v>
      </c>
      <c r="AR39" s="2" t="s">
        <v>63</v>
      </c>
      <c r="AS39" s="10" t="s">
        <v>312</v>
      </c>
    </row>
    <row r="40" spans="1:45" ht="120" x14ac:dyDescent="0.2">
      <c r="A40" s="2" t="s">
        <v>373</v>
      </c>
      <c r="B40" s="2" t="s">
        <v>60</v>
      </c>
      <c r="C40" s="2" t="s">
        <v>374</v>
      </c>
      <c r="D40" s="2" t="s">
        <v>18</v>
      </c>
      <c r="E40" s="2" t="s">
        <v>36</v>
      </c>
      <c r="F40" s="2" t="s">
        <v>19</v>
      </c>
      <c r="G40" s="2">
        <v>200</v>
      </c>
      <c r="H40" s="1">
        <v>3.7</v>
      </c>
      <c r="I40" s="1">
        <f t="shared" si="1"/>
        <v>1.8500000000000003E-2</v>
      </c>
      <c r="J40" s="2" t="s">
        <v>249</v>
      </c>
      <c r="K40" s="2" t="s">
        <v>79</v>
      </c>
      <c r="L40" s="2" t="s">
        <v>5</v>
      </c>
      <c r="M40" s="2">
        <v>82.75</v>
      </c>
      <c r="N40" s="2">
        <f>Table13[[#This Row],[Doses per inhaler1,2]]*Table13[[#This Row],[Indicative carbon footprint /puff (g CO2e) 
Midpoint value7,8]]</f>
        <v>16550</v>
      </c>
      <c r="O40" s="10" t="s">
        <v>671</v>
      </c>
      <c r="P40" s="3">
        <v>112</v>
      </c>
      <c r="Q40" s="3">
        <f>Table13[[#This Row],[Indicative carbon footprint /puff (g CO2e) 
Midpoint value7,8]]*Table13[[#This Row],[Number of puffs per 28 days1-4]]</f>
        <v>9268</v>
      </c>
      <c r="R40" s="3">
        <f>13*Table13[[#This Row],[Indicative carbon footprint per 28 days (g CO2e)]]</f>
        <v>120484</v>
      </c>
      <c r="S40" s="3" t="str">
        <f>IF(Table13[[#This Row],[Indicative carbon footprint /puff (g CO2e) 
Midpoint value7,8]]&gt;=35,"High","Low")</f>
        <v>High</v>
      </c>
      <c r="T40" s="3" t="s">
        <v>734</v>
      </c>
      <c r="U40" s="1">
        <f>Table13[[#This Row],[Number of puffs per 28 days1-4]]*Table13[[#This Row],[Cost/puff 1,5-7]]</f>
        <v>2.0720000000000001</v>
      </c>
      <c r="V40" s="1">
        <f>Table13[[#This Row],[Indicative cost per 28 days1,5]]*13</f>
        <v>26.936</v>
      </c>
      <c r="W40" s="1"/>
      <c r="X40" s="2" t="s">
        <v>14</v>
      </c>
      <c r="Y40" s="2" t="s">
        <v>210</v>
      </c>
      <c r="Z40" s="4" t="s">
        <v>84</v>
      </c>
      <c r="AA40" s="2" t="s">
        <v>16</v>
      </c>
      <c r="AD40" s="2" t="s">
        <v>85</v>
      </c>
      <c r="AE40" s="11">
        <f>1.15*Table13[[#This Row],[Doses per inhaler1,2]]</f>
        <v>229.99999999999997</v>
      </c>
      <c r="AF40" s="11">
        <f>0.49*Table13[[#This Row],[Doses per inhaler1,2]]</f>
        <v>98</v>
      </c>
      <c r="AG40" s="2">
        <f>0.66*Table13[[#This Row],[Doses per inhaler1,2]]</f>
        <v>132</v>
      </c>
      <c r="AH40" s="11">
        <f>0.07*Table13[[#This Row],[Doses per inhaler1,2]]</f>
        <v>14.000000000000002</v>
      </c>
      <c r="AI40" s="2">
        <f>0.81*Table13[[#This Row],[Doses per inhaler1,2]]</f>
        <v>162</v>
      </c>
      <c r="AJ40" s="11">
        <v>0</v>
      </c>
      <c r="AK40" s="11">
        <f>1.07*Table13[[#This Row],[Doses per inhaler1,2]]</f>
        <v>214</v>
      </c>
      <c r="AL40" s="11">
        <f>0.22*Table13[[#This Row],[Doses per inhaler1,2]]</f>
        <v>44</v>
      </c>
      <c r="AM40" s="11">
        <f>65.75*Table13[[#This Row],[Doses per inhaler1,2]]</f>
        <v>13150</v>
      </c>
      <c r="AN40" s="11">
        <f>12.53*Table13[[#This Row],[Doses per inhaler1,2]]</f>
        <v>2506</v>
      </c>
      <c r="AO40" s="2" t="s">
        <v>63</v>
      </c>
      <c r="AP40" s="2" t="s">
        <v>5</v>
      </c>
      <c r="AQ40" s="48" t="s">
        <v>923</v>
      </c>
      <c r="AR40" s="2" t="s">
        <v>63</v>
      </c>
      <c r="AS40" s="10" t="s">
        <v>312</v>
      </c>
    </row>
    <row r="41" spans="1:45" ht="30" x14ac:dyDescent="0.25">
      <c r="A41" s="2" t="s">
        <v>375</v>
      </c>
      <c r="B41" s="2" t="s">
        <v>89</v>
      </c>
      <c r="C41" s="2" t="s">
        <v>341</v>
      </c>
      <c r="D41" s="2" t="s">
        <v>18</v>
      </c>
      <c r="E41" s="2" t="s">
        <v>11</v>
      </c>
      <c r="F41" s="2" t="s">
        <v>19</v>
      </c>
      <c r="G41" s="2">
        <v>120</v>
      </c>
      <c r="H41" s="1">
        <v>10.48</v>
      </c>
      <c r="I41" s="1">
        <f t="shared" si="1"/>
        <v>8.7333333333333332E-2</v>
      </c>
      <c r="J41" s="2" t="s">
        <v>37</v>
      </c>
      <c r="K41" s="2" t="s">
        <v>37</v>
      </c>
      <c r="L41" s="2" t="s">
        <v>13</v>
      </c>
      <c r="M41" s="2">
        <v>134.0625</v>
      </c>
      <c r="N41" s="2">
        <f>Table13[[#This Row],[Doses per inhaler1,2]]*Table13[[#This Row],[Indicative carbon footprint /puff (g CO2e) 
Midpoint value7,8]]</f>
        <v>16087.5</v>
      </c>
      <c r="O41" s="10" t="s">
        <v>669</v>
      </c>
      <c r="P41" s="3">
        <v>112</v>
      </c>
      <c r="Q41" s="3">
        <f>Table13[[#This Row],[Indicative carbon footprint /puff (g CO2e) 
Midpoint value7,8]]*Table13[[#This Row],[Number of puffs per 28 days1-4]]</f>
        <v>15015</v>
      </c>
      <c r="R41" s="3">
        <f>13*Table13[[#This Row],[Indicative carbon footprint per 28 days (g CO2e)]]</f>
        <v>195195</v>
      </c>
      <c r="S41" s="3" t="str">
        <f>IF(Table13[[#This Row],[Indicative carbon footprint /puff (g CO2e) 
Midpoint value7,8]]&gt;=35,"High","Low")</f>
        <v>High</v>
      </c>
      <c r="T41" s="3"/>
      <c r="U41" s="1">
        <f>Table13[[#This Row],[Number of puffs per 28 days1-4]]*Table13[[#This Row],[Cost/puff 1,5-7]]</f>
        <v>9.7813333333333325</v>
      </c>
      <c r="V41" s="1">
        <f>Table13[[#This Row],[Indicative cost per 28 days1,5]]*13</f>
        <v>127.15733333333333</v>
      </c>
      <c r="W41" s="1"/>
      <c r="X41" s="2" t="s">
        <v>14</v>
      </c>
      <c r="Y41" s="2" t="s">
        <v>210</v>
      </c>
      <c r="Z41" s="4" t="s">
        <v>90</v>
      </c>
      <c r="AA41" s="2" t="s">
        <v>91</v>
      </c>
      <c r="AB41" s="11"/>
      <c r="AC41" s="2" t="s">
        <v>29</v>
      </c>
      <c r="AD41" s="2" t="s">
        <v>92</v>
      </c>
      <c r="AE41" s="2" t="s">
        <v>63</v>
      </c>
      <c r="AF41" s="2" t="s">
        <v>63</v>
      </c>
      <c r="AG41" s="2" t="s">
        <v>63</v>
      </c>
      <c r="AH41" s="2" t="s">
        <v>63</v>
      </c>
      <c r="AI41" s="2" t="s">
        <v>63</v>
      </c>
      <c r="AJ41" s="2" t="s">
        <v>63</v>
      </c>
      <c r="AK41" s="2" t="s">
        <v>63</v>
      </c>
      <c r="AL41" s="2" t="s">
        <v>63</v>
      </c>
      <c r="AM41" s="2">
        <f>N41</f>
        <v>16087.5</v>
      </c>
      <c r="AN41" s="2" t="s">
        <v>63</v>
      </c>
      <c r="AO41" s="2" t="s">
        <v>63</v>
      </c>
      <c r="AP41" s="2" t="s">
        <v>93</v>
      </c>
      <c r="AQ41" s="2" t="s">
        <v>5</v>
      </c>
      <c r="AR41" s="2" t="s">
        <v>94</v>
      </c>
      <c r="AS41" s="2" t="s">
        <v>311</v>
      </c>
    </row>
    <row r="42" spans="1:45" ht="30" x14ac:dyDescent="0.25">
      <c r="A42" s="2" t="s">
        <v>376</v>
      </c>
      <c r="B42" s="2" t="s">
        <v>89</v>
      </c>
      <c r="C42" s="2" t="s">
        <v>342</v>
      </c>
      <c r="D42" s="2" t="s">
        <v>18</v>
      </c>
      <c r="E42" s="2" t="s">
        <v>11</v>
      </c>
      <c r="F42" s="2" t="s">
        <v>19</v>
      </c>
      <c r="G42" s="2">
        <v>120</v>
      </c>
      <c r="H42" s="1">
        <v>13.99</v>
      </c>
      <c r="I42" s="1">
        <f t="shared" si="1"/>
        <v>0.11658333333333333</v>
      </c>
      <c r="J42" s="2" t="s">
        <v>37</v>
      </c>
      <c r="K42" s="2" t="s">
        <v>37</v>
      </c>
      <c r="L42" s="2" t="s">
        <v>13</v>
      </c>
      <c r="M42" s="2">
        <v>134.0625</v>
      </c>
      <c r="N42" s="2">
        <f>Table13[[#This Row],[Doses per inhaler1,2]]*Table13[[#This Row],[Indicative carbon footprint /puff (g CO2e) 
Midpoint value7,8]]</f>
        <v>16087.5</v>
      </c>
      <c r="O42" s="10" t="s">
        <v>669</v>
      </c>
      <c r="P42" s="3">
        <v>112</v>
      </c>
      <c r="Q42" s="3">
        <f>Table13[[#This Row],[Indicative carbon footprint /puff (g CO2e) 
Midpoint value7,8]]*Table13[[#This Row],[Number of puffs per 28 days1-4]]</f>
        <v>15015</v>
      </c>
      <c r="R42" s="3">
        <f>13*Table13[[#This Row],[Indicative carbon footprint per 28 days (g CO2e)]]</f>
        <v>195195</v>
      </c>
      <c r="S42" s="3" t="str">
        <f>IF(Table13[[#This Row],[Indicative carbon footprint /puff (g CO2e) 
Midpoint value7,8]]&gt;=35,"High","Low")</f>
        <v>High</v>
      </c>
      <c r="T42" s="3"/>
      <c r="U42" s="1">
        <f>Table13[[#This Row],[Number of puffs per 28 days1-4]]*Table13[[#This Row],[Cost/puff 1,5-7]]</f>
        <v>13.057333333333332</v>
      </c>
      <c r="V42" s="1">
        <f>Table13[[#This Row],[Indicative cost per 28 days1,5]]*13</f>
        <v>169.74533333333332</v>
      </c>
      <c r="W42" s="1"/>
      <c r="X42" s="2" t="s">
        <v>14</v>
      </c>
      <c r="Y42" s="2" t="s">
        <v>210</v>
      </c>
      <c r="Z42" s="4" t="s">
        <v>95</v>
      </c>
      <c r="AA42" s="2" t="s">
        <v>91</v>
      </c>
      <c r="AB42" s="11"/>
      <c r="AC42" s="2" t="s">
        <v>29</v>
      </c>
      <c r="AD42" s="2" t="s">
        <v>92</v>
      </c>
      <c r="AE42" s="2" t="s">
        <v>63</v>
      </c>
      <c r="AF42" s="2" t="s">
        <v>63</v>
      </c>
      <c r="AG42" s="2" t="s">
        <v>63</v>
      </c>
      <c r="AH42" s="2" t="s">
        <v>63</v>
      </c>
      <c r="AI42" s="2" t="s">
        <v>63</v>
      </c>
      <c r="AJ42" s="2" t="s">
        <v>63</v>
      </c>
      <c r="AK42" s="2" t="s">
        <v>63</v>
      </c>
      <c r="AL42" s="2" t="s">
        <v>63</v>
      </c>
      <c r="AM42" s="2">
        <f>N42</f>
        <v>16087.5</v>
      </c>
      <c r="AN42" s="2" t="s">
        <v>63</v>
      </c>
      <c r="AO42" s="2" t="s">
        <v>63</v>
      </c>
      <c r="AP42" s="2" t="s">
        <v>93</v>
      </c>
      <c r="AQ42" s="2" t="s">
        <v>5</v>
      </c>
      <c r="AR42" s="2" t="s">
        <v>94</v>
      </c>
      <c r="AS42" s="2" t="s">
        <v>311</v>
      </c>
    </row>
    <row r="43" spans="1:45" ht="30" x14ac:dyDescent="0.25">
      <c r="A43" s="2" t="s">
        <v>377</v>
      </c>
      <c r="B43" s="2" t="s">
        <v>89</v>
      </c>
      <c r="C43" s="2" t="s">
        <v>378</v>
      </c>
      <c r="D43" s="2" t="s">
        <v>18</v>
      </c>
      <c r="E43" s="2" t="s">
        <v>11</v>
      </c>
      <c r="F43" s="2" t="s">
        <v>19</v>
      </c>
      <c r="G43" s="2">
        <v>120</v>
      </c>
      <c r="H43" s="1">
        <v>13.5</v>
      </c>
      <c r="I43" s="1">
        <f t="shared" si="1"/>
        <v>0.1125</v>
      </c>
      <c r="J43" s="2" t="s">
        <v>26</v>
      </c>
      <c r="K43" s="2" t="s">
        <v>96</v>
      </c>
      <c r="L43" s="2" t="s">
        <v>13</v>
      </c>
      <c r="M43" s="2">
        <v>134.0625</v>
      </c>
      <c r="N43" s="2">
        <f>Table13[[#This Row],[Doses per inhaler1,2]]*Table13[[#This Row],[Indicative carbon footprint /puff (g CO2e) 
Midpoint value7,8]]</f>
        <v>16087.5</v>
      </c>
      <c r="O43" s="10" t="s">
        <v>669</v>
      </c>
      <c r="P43" s="3">
        <v>112</v>
      </c>
      <c r="Q43" s="3">
        <f>Table13[[#This Row],[Indicative carbon footprint /puff (g CO2e) 
Midpoint value7,8]]*Table13[[#This Row],[Number of puffs per 28 days1-4]]</f>
        <v>15015</v>
      </c>
      <c r="R43" s="3">
        <f>13*Table13[[#This Row],[Indicative carbon footprint per 28 days (g CO2e)]]</f>
        <v>195195</v>
      </c>
      <c r="S43" s="3" t="str">
        <f>IF(Table13[[#This Row],[Indicative carbon footprint /puff (g CO2e) 
Midpoint value7,8]]&gt;=35,"High","Low")</f>
        <v>High</v>
      </c>
      <c r="T43" s="3"/>
      <c r="U43" s="1">
        <f>Table13[[#This Row],[Number of puffs per 28 days1-4]]*Table13[[#This Row],[Cost/puff 1,5-7]]</f>
        <v>12.6</v>
      </c>
      <c r="V43" s="1">
        <f>Table13[[#This Row],[Indicative cost per 28 days1,5]]*13</f>
        <v>163.79999999999998</v>
      </c>
      <c r="W43" s="1"/>
      <c r="X43" s="2" t="s">
        <v>14</v>
      </c>
      <c r="Y43" s="2" t="s">
        <v>210</v>
      </c>
      <c r="Z43" s="4" t="s">
        <v>97</v>
      </c>
      <c r="AA43" s="2" t="s">
        <v>91</v>
      </c>
      <c r="AB43" s="11"/>
      <c r="AC43" s="2" t="s">
        <v>29</v>
      </c>
      <c r="AD43" s="2" t="s">
        <v>92</v>
      </c>
      <c r="AE43" s="2" t="s">
        <v>63</v>
      </c>
      <c r="AF43" s="2" t="s">
        <v>63</v>
      </c>
      <c r="AG43" s="2" t="s">
        <v>63</v>
      </c>
      <c r="AH43" s="2" t="s">
        <v>63</v>
      </c>
      <c r="AI43" s="2" t="s">
        <v>63</v>
      </c>
      <c r="AJ43" s="2" t="s">
        <v>63</v>
      </c>
      <c r="AK43" s="2" t="s">
        <v>63</v>
      </c>
      <c r="AL43" s="2" t="s">
        <v>63</v>
      </c>
      <c r="AM43" s="2">
        <f>N43</f>
        <v>16087.5</v>
      </c>
      <c r="AN43" s="2" t="s">
        <v>63</v>
      </c>
      <c r="AO43" s="2" t="s">
        <v>63</v>
      </c>
      <c r="AP43" s="2" t="s">
        <v>93</v>
      </c>
      <c r="AQ43" s="2" t="s">
        <v>5</v>
      </c>
      <c r="AR43" s="2" t="s">
        <v>94</v>
      </c>
      <c r="AS43" s="2" t="s">
        <v>311</v>
      </c>
    </row>
    <row r="44" spans="1:45" ht="60" x14ac:dyDescent="0.25">
      <c r="A44" s="2" t="s">
        <v>825</v>
      </c>
      <c r="B44" s="2" t="s">
        <v>35</v>
      </c>
      <c r="C44" s="2" t="s">
        <v>494</v>
      </c>
      <c r="D44" s="2" t="s">
        <v>43</v>
      </c>
      <c r="E44" s="2" t="s">
        <v>44</v>
      </c>
      <c r="F44" s="2" t="s">
        <v>6</v>
      </c>
      <c r="G44" s="2">
        <v>60</v>
      </c>
      <c r="H44" s="1">
        <v>32.5</v>
      </c>
      <c r="I44" s="1">
        <f t="shared" si="1"/>
        <v>0.54166666666666663</v>
      </c>
      <c r="J44" s="2" t="s">
        <v>12</v>
      </c>
      <c r="K44" s="2" t="s">
        <v>12</v>
      </c>
      <c r="L44" s="2" t="s">
        <v>5</v>
      </c>
      <c r="M44" s="2">
        <v>9.17</v>
      </c>
      <c r="N44" s="2">
        <f>Table13[[#This Row],[Doses per inhaler1,2]]*Table13[[#This Row],[Indicative carbon footprint /puff (g CO2e) 
Midpoint value7,8]]</f>
        <v>550.20000000000005</v>
      </c>
      <c r="O44" s="10" t="s">
        <v>671</v>
      </c>
      <c r="P44" s="3">
        <v>56</v>
      </c>
      <c r="Q44" s="3">
        <f>Table13[[#This Row],[Indicative carbon footprint /puff (g CO2e) 
Midpoint value7,8]]*Table13[[#This Row],[Number of puffs per 28 days1-4]]</f>
        <v>513.52</v>
      </c>
      <c r="R44" s="3">
        <f>13*Table13[[#This Row],[Indicative carbon footprint per 28 days (g CO2e)]]</f>
        <v>6675.76</v>
      </c>
      <c r="S44" s="3" t="str">
        <f>IF(Table13[[#This Row],[Indicative carbon footprint /puff (g CO2e) 
Midpoint value7,8]]&gt;=35,"High","Low")</f>
        <v>Low</v>
      </c>
      <c r="T44" s="3"/>
      <c r="U44" s="1">
        <f>Table13[[#This Row],[Number of puffs per 28 days1-4]]*Table13[[#This Row],[Cost/puff 1,5-7]]</f>
        <v>30.333333333333332</v>
      </c>
      <c r="V44" s="1">
        <f>Table13[[#This Row],[Indicative cost per 28 days1,5]]*13</f>
        <v>394.33333333333331</v>
      </c>
      <c r="W44" s="1"/>
      <c r="X44" s="2" t="s">
        <v>14</v>
      </c>
      <c r="Y44" s="2" t="s">
        <v>5</v>
      </c>
      <c r="Z44" s="4" t="s">
        <v>98</v>
      </c>
      <c r="AB44" s="2" t="s">
        <v>17</v>
      </c>
      <c r="AD44" s="2" t="s">
        <v>295</v>
      </c>
      <c r="AE44" s="2" t="s">
        <v>63</v>
      </c>
      <c r="AF44" s="2" t="s">
        <v>63</v>
      </c>
      <c r="AG44" s="2" t="s">
        <v>63</v>
      </c>
      <c r="AH44" s="2" t="s">
        <v>63</v>
      </c>
      <c r="AI44" s="2" t="s">
        <v>63</v>
      </c>
      <c r="AJ44" s="2" t="s">
        <v>63</v>
      </c>
      <c r="AK44" s="2" t="s">
        <v>63</v>
      </c>
      <c r="AL44" s="2" t="s">
        <v>63</v>
      </c>
      <c r="AM44" s="2" t="s">
        <v>63</v>
      </c>
      <c r="AN44" s="2" t="s">
        <v>63</v>
      </c>
      <c r="AO44" s="2" t="s">
        <v>63</v>
      </c>
      <c r="AP44" s="2" t="s">
        <v>63</v>
      </c>
      <c r="AQ44" s="2" t="s">
        <v>63</v>
      </c>
      <c r="AR44" s="2" t="s">
        <v>63</v>
      </c>
      <c r="AS44" s="2" t="s">
        <v>310</v>
      </c>
    </row>
    <row r="45" spans="1:45" ht="90" x14ac:dyDescent="0.25">
      <c r="A45" s="2" t="s">
        <v>379</v>
      </c>
      <c r="B45" s="2" t="s">
        <v>23</v>
      </c>
      <c r="C45" s="2" t="s">
        <v>380</v>
      </c>
      <c r="D45" s="2" t="s">
        <v>10</v>
      </c>
      <c r="E45" s="2" t="s">
        <v>11</v>
      </c>
      <c r="F45" s="2" t="s">
        <v>6</v>
      </c>
      <c r="G45" s="2">
        <v>120</v>
      </c>
      <c r="H45" s="1">
        <v>27.97</v>
      </c>
      <c r="I45" s="1">
        <f t="shared" si="1"/>
        <v>0.23308333333333334</v>
      </c>
      <c r="J45" s="2" t="s">
        <v>632</v>
      </c>
      <c r="K45" s="2" t="s">
        <v>632</v>
      </c>
      <c r="L45" s="2" t="s">
        <v>99</v>
      </c>
      <c r="M45" s="2">
        <v>6.8</v>
      </c>
      <c r="N45" s="2">
        <v>630</v>
      </c>
      <c r="O45" s="10" t="s">
        <v>672</v>
      </c>
      <c r="P45" s="3">
        <v>56</v>
      </c>
      <c r="Q45" s="3">
        <f>Table13[[#This Row],[Indicative carbon footprint /puff (g CO2e) 
Midpoint value7,8]]*Table13[[#This Row],[Number of puffs per 28 days1-4]]</f>
        <v>380.8</v>
      </c>
      <c r="R45" s="3">
        <f>13*Table13[[#This Row],[Indicative carbon footprint per 28 days (g CO2e)]]</f>
        <v>4950.4000000000005</v>
      </c>
      <c r="S45" s="3" t="str">
        <f>IF(Table13[[#This Row],[Indicative carbon footprint /puff (g CO2e) 
Midpoint value7,8]]&gt;=35,"High","Low")</f>
        <v>Low</v>
      </c>
      <c r="T45" s="3"/>
      <c r="U45" s="1">
        <f>Table13[[#This Row],[Number of puffs per 28 days1-4]]*Table13[[#This Row],[Cost/puff 1,5-7]]</f>
        <v>13.052666666666667</v>
      </c>
      <c r="V45" s="1">
        <f>Table13[[#This Row],[Indicative cost per 28 days1,5]]*13</f>
        <v>169.68466666666666</v>
      </c>
      <c r="W45" s="2" t="s">
        <v>570</v>
      </c>
      <c r="X45" s="1" t="s">
        <v>14</v>
      </c>
      <c r="Y45" s="2" t="s">
        <v>5</v>
      </c>
      <c r="Z45" s="4" t="s">
        <v>100</v>
      </c>
      <c r="AB45" s="2" t="s">
        <v>17</v>
      </c>
      <c r="AC45" s="2" t="s">
        <v>5</v>
      </c>
      <c r="AD45" s="2" t="s">
        <v>63</v>
      </c>
      <c r="AE45" s="2" t="s">
        <v>63</v>
      </c>
      <c r="AF45" s="2" t="s">
        <v>63</v>
      </c>
      <c r="AG45" s="2" t="s">
        <v>63</v>
      </c>
      <c r="AH45" s="2" t="s">
        <v>63</v>
      </c>
      <c r="AI45" s="2" t="s">
        <v>63</v>
      </c>
      <c r="AJ45" s="2" t="s">
        <v>63</v>
      </c>
      <c r="AK45" s="2" t="s">
        <v>63</v>
      </c>
      <c r="AL45" s="2" t="s">
        <v>63</v>
      </c>
      <c r="AM45" s="2" t="s">
        <v>63</v>
      </c>
      <c r="AN45" s="2" t="s">
        <v>63</v>
      </c>
      <c r="AO45" s="2" t="s">
        <v>63</v>
      </c>
      <c r="AP45" s="2" t="s">
        <v>63</v>
      </c>
      <c r="AQ45" s="2" t="s">
        <v>63</v>
      </c>
      <c r="AR45" s="2" t="s">
        <v>63</v>
      </c>
      <c r="AS45" s="2" t="s">
        <v>310</v>
      </c>
    </row>
    <row r="46" spans="1:45" ht="75" x14ac:dyDescent="0.25">
      <c r="A46" s="2" t="s">
        <v>381</v>
      </c>
      <c r="B46" s="2" t="s">
        <v>23</v>
      </c>
      <c r="C46" s="2" t="s">
        <v>382</v>
      </c>
      <c r="D46" s="2" t="s">
        <v>10</v>
      </c>
      <c r="E46" s="2" t="s">
        <v>11</v>
      </c>
      <c r="F46" s="2" t="s">
        <v>6</v>
      </c>
      <c r="G46" s="2">
        <v>60</v>
      </c>
      <c r="H46" s="1">
        <v>27.97</v>
      </c>
      <c r="I46" s="1">
        <f t="shared" si="1"/>
        <v>0.46616666666666667</v>
      </c>
      <c r="J46" s="2" t="s">
        <v>632</v>
      </c>
      <c r="K46" s="2" t="s">
        <v>632</v>
      </c>
      <c r="L46" s="2" t="s">
        <v>13</v>
      </c>
      <c r="M46" s="2">
        <v>6.8</v>
      </c>
      <c r="N46" s="2">
        <v>630</v>
      </c>
      <c r="O46" s="10" t="s">
        <v>672</v>
      </c>
      <c r="P46" s="3">
        <v>56</v>
      </c>
      <c r="Q46" s="3">
        <f>Table13[[#This Row],[Indicative carbon footprint /puff (g CO2e) 
Midpoint value7,8]]*Table13[[#This Row],[Number of puffs per 28 days1-4]]</f>
        <v>380.8</v>
      </c>
      <c r="R46" s="3">
        <f>13*Table13[[#This Row],[Indicative carbon footprint per 28 days (g CO2e)]]</f>
        <v>4950.4000000000005</v>
      </c>
      <c r="S46" s="3" t="str">
        <f>IF(Table13[[#This Row],[Indicative carbon footprint /puff (g CO2e) 
Midpoint value7,8]]&gt;=35,"High","Low")</f>
        <v>Low</v>
      </c>
      <c r="T46" s="3"/>
      <c r="U46" s="1">
        <f>Table13[[#This Row],[Number of puffs per 28 days1-4]]*Table13[[#This Row],[Cost/puff 1,5-7]]</f>
        <v>26.105333333333334</v>
      </c>
      <c r="V46" s="1">
        <f>Table13[[#This Row],[Indicative cost per 28 days1,5]]*13</f>
        <v>339.36933333333332</v>
      </c>
      <c r="W46" s="2" t="s">
        <v>571</v>
      </c>
      <c r="X46" s="1" t="s">
        <v>14</v>
      </c>
      <c r="Y46" s="2" t="s">
        <v>5</v>
      </c>
      <c r="Z46" s="4" t="s">
        <v>101</v>
      </c>
      <c r="AB46" s="2" t="s">
        <v>17</v>
      </c>
      <c r="AC46" s="2" t="s">
        <v>5</v>
      </c>
      <c r="AD46" s="2" t="s">
        <v>63</v>
      </c>
      <c r="AE46" s="2" t="s">
        <v>63</v>
      </c>
      <c r="AF46" s="2" t="s">
        <v>63</v>
      </c>
      <c r="AG46" s="2" t="s">
        <v>63</v>
      </c>
      <c r="AH46" s="2" t="s">
        <v>63</v>
      </c>
      <c r="AI46" s="2" t="s">
        <v>63</v>
      </c>
      <c r="AJ46" s="2" t="s">
        <v>63</v>
      </c>
      <c r="AK46" s="2" t="s">
        <v>63</v>
      </c>
      <c r="AL46" s="2" t="s">
        <v>63</v>
      </c>
      <c r="AM46" s="2" t="s">
        <v>63</v>
      </c>
      <c r="AN46" s="2" t="s">
        <v>63</v>
      </c>
      <c r="AO46" s="2" t="s">
        <v>63</v>
      </c>
      <c r="AP46" s="2" t="s">
        <v>63</v>
      </c>
      <c r="AQ46" s="2" t="s">
        <v>63</v>
      </c>
      <c r="AR46" s="2" t="s">
        <v>63</v>
      </c>
      <c r="AS46" s="2" t="s">
        <v>310</v>
      </c>
    </row>
    <row r="47" spans="1:45" ht="60" x14ac:dyDescent="0.25">
      <c r="A47" s="2" t="s">
        <v>383</v>
      </c>
      <c r="B47" s="2" t="s">
        <v>102</v>
      </c>
      <c r="C47" s="2" t="s">
        <v>384</v>
      </c>
      <c r="D47" s="2" t="s">
        <v>18</v>
      </c>
      <c r="E47" s="2" t="s">
        <v>36</v>
      </c>
      <c r="F47" s="2" t="s">
        <v>6</v>
      </c>
      <c r="G47" s="2">
        <v>200</v>
      </c>
      <c r="H47" s="1">
        <v>14.93</v>
      </c>
      <c r="I47" s="1">
        <f t="shared" si="1"/>
        <v>7.4649999999999994E-2</v>
      </c>
      <c r="J47" s="2" t="s">
        <v>12</v>
      </c>
      <c r="K47" s="2" t="s">
        <v>103</v>
      </c>
      <c r="L47" s="2" t="s">
        <v>5</v>
      </c>
      <c r="M47" s="2">
        <v>3.05</v>
      </c>
      <c r="N47" s="2">
        <f>Table13[[#This Row],[Doses per inhaler1,2]]*Table13[[#This Row],[Indicative carbon footprint /puff (g CO2e) 
Midpoint value7,8]]</f>
        <v>610</v>
      </c>
      <c r="O47" s="10" t="s">
        <v>671</v>
      </c>
      <c r="P47" s="3">
        <v>56</v>
      </c>
      <c r="Q47" s="3">
        <f>Table13[[#This Row],[Indicative carbon footprint /puff (g CO2e) 
Midpoint value7,8]]*Table13[[#This Row],[Number of puffs per 28 days1-4]]</f>
        <v>170.79999999999998</v>
      </c>
      <c r="R47" s="3">
        <f>13*Table13[[#This Row],[Indicative carbon footprint per 28 days (g CO2e)]]</f>
        <v>2220.3999999999996</v>
      </c>
      <c r="S47" s="3" t="str">
        <f>IF(Table13[[#This Row],[Indicative carbon footprint /puff (g CO2e) 
Midpoint value7,8]]&gt;=35,"High","Low")</f>
        <v>Low</v>
      </c>
      <c r="T47" s="3" t="s">
        <v>734</v>
      </c>
      <c r="U47" s="1">
        <f>Table13[[#This Row],[Number of puffs per 28 days1-4]]*Table13[[#This Row],[Cost/puff 1,5-7]]</f>
        <v>4.1803999999999997</v>
      </c>
      <c r="V47" s="1">
        <f>Table13[[#This Row],[Indicative cost per 28 days1,5]]*13</f>
        <v>54.345199999999998</v>
      </c>
      <c r="W47" s="1"/>
      <c r="X47" s="2" t="s">
        <v>14</v>
      </c>
      <c r="Y47" s="2" t="s">
        <v>5</v>
      </c>
      <c r="Z47" s="4" t="s">
        <v>104</v>
      </c>
      <c r="AA47" s="9" t="s">
        <v>45</v>
      </c>
      <c r="AB47" s="2" t="s">
        <v>17</v>
      </c>
      <c r="AC47" s="9" t="s">
        <v>5</v>
      </c>
      <c r="AD47" s="2" t="s">
        <v>105</v>
      </c>
      <c r="AE47" s="11">
        <v>290.62</v>
      </c>
      <c r="AF47" s="11">
        <v>244.55</v>
      </c>
      <c r="AG47" s="2" t="s">
        <v>328</v>
      </c>
      <c r="AH47" s="11">
        <v>11.22</v>
      </c>
      <c r="AI47" s="2" t="s">
        <v>5</v>
      </c>
      <c r="AJ47" s="11" t="s">
        <v>5</v>
      </c>
      <c r="AK47" s="11" t="s">
        <v>5</v>
      </c>
      <c r="AL47" s="11">
        <v>8.19</v>
      </c>
      <c r="AM47" s="11">
        <v>0</v>
      </c>
      <c r="AN47" s="11">
        <v>55.52</v>
      </c>
      <c r="AO47" s="2" t="s">
        <v>63</v>
      </c>
      <c r="AP47" s="11" t="s">
        <v>5</v>
      </c>
      <c r="AQ47" s="11" t="s">
        <v>5</v>
      </c>
      <c r="AR47" s="11" t="s">
        <v>736</v>
      </c>
      <c r="AS47" s="2" t="s">
        <v>310</v>
      </c>
    </row>
    <row r="48" spans="1:45" ht="60" x14ac:dyDescent="0.25">
      <c r="A48" s="2" t="s">
        <v>385</v>
      </c>
      <c r="B48" s="2" t="s">
        <v>102</v>
      </c>
      <c r="C48" s="2" t="s">
        <v>386</v>
      </c>
      <c r="D48" s="2" t="s">
        <v>18</v>
      </c>
      <c r="E48" s="2" t="s">
        <v>36</v>
      </c>
      <c r="F48" s="2" t="s">
        <v>6</v>
      </c>
      <c r="G48" s="2">
        <v>200</v>
      </c>
      <c r="H48" s="1">
        <v>8.86</v>
      </c>
      <c r="I48" s="1">
        <f t="shared" si="1"/>
        <v>4.4299999999999999E-2</v>
      </c>
      <c r="J48" s="2" t="s">
        <v>76</v>
      </c>
      <c r="K48" s="2" t="s">
        <v>106</v>
      </c>
      <c r="L48" s="2" t="s">
        <v>5</v>
      </c>
      <c r="M48" s="2">
        <v>3.25</v>
      </c>
      <c r="N48" s="2">
        <f>Table13[[#This Row],[Doses per inhaler1,2]]*Table13[[#This Row],[Indicative carbon footprint /puff (g CO2e) 
Midpoint value7,8]]</f>
        <v>650</v>
      </c>
      <c r="O48" s="10" t="s">
        <v>671</v>
      </c>
      <c r="P48" s="3">
        <v>56</v>
      </c>
      <c r="Q48" s="3">
        <f>Table13[[#This Row],[Indicative carbon footprint /puff (g CO2e) 
Midpoint value7,8]]*Table13[[#This Row],[Number of puffs per 28 days1-4]]</f>
        <v>182</v>
      </c>
      <c r="R48" s="3">
        <f>13*Table13[[#This Row],[Indicative carbon footprint per 28 days (g CO2e)]]</f>
        <v>2366</v>
      </c>
      <c r="S48" s="3" t="str">
        <f>IF(Table13[[#This Row],[Indicative carbon footprint /puff (g CO2e) 
Midpoint value7,8]]&gt;=35,"High","Low")</f>
        <v>Low</v>
      </c>
      <c r="T48" s="3" t="s">
        <v>734</v>
      </c>
      <c r="U48" s="1">
        <f>Table13[[#This Row],[Number of puffs per 28 days1-4]]*Table13[[#This Row],[Cost/puff 1,5-7]]</f>
        <v>2.4807999999999999</v>
      </c>
      <c r="V48" s="1">
        <f>Table13[[#This Row],[Indicative cost per 28 days1,5]]*13</f>
        <v>32.250399999999999</v>
      </c>
      <c r="W48" s="1"/>
      <c r="X48" s="2" t="s">
        <v>14</v>
      </c>
      <c r="Y48" s="2" t="s">
        <v>5</v>
      </c>
      <c r="Z48" s="4" t="s">
        <v>107</v>
      </c>
      <c r="AB48" s="2" t="s">
        <v>17</v>
      </c>
      <c r="AD48" s="2" t="s">
        <v>105</v>
      </c>
      <c r="AE48" s="11">
        <v>330.24</v>
      </c>
      <c r="AF48" s="11">
        <v>244.55</v>
      </c>
      <c r="AG48" s="2" t="s">
        <v>328</v>
      </c>
      <c r="AH48" s="11">
        <v>11.28</v>
      </c>
      <c r="AI48" s="2" t="s">
        <v>5</v>
      </c>
      <c r="AJ48" s="11" t="s">
        <v>5</v>
      </c>
      <c r="AK48" s="11" t="s">
        <v>5</v>
      </c>
      <c r="AL48" s="11">
        <v>8.23</v>
      </c>
      <c r="AM48" s="11">
        <v>0</v>
      </c>
      <c r="AN48" s="11">
        <v>55.52</v>
      </c>
      <c r="AO48" s="2" t="s">
        <v>63</v>
      </c>
      <c r="AP48" s="11" t="s">
        <v>5</v>
      </c>
      <c r="AQ48" s="11" t="s">
        <v>5</v>
      </c>
      <c r="AR48" s="11" t="s">
        <v>736</v>
      </c>
      <c r="AS48" s="2" t="s">
        <v>310</v>
      </c>
    </row>
    <row r="49" spans="1:45" ht="60" x14ac:dyDescent="0.25">
      <c r="A49" s="2" t="s">
        <v>387</v>
      </c>
      <c r="B49" s="2" t="s">
        <v>102</v>
      </c>
      <c r="C49" s="2" t="s">
        <v>388</v>
      </c>
      <c r="D49" s="2" t="s">
        <v>18</v>
      </c>
      <c r="E49" s="2" t="s">
        <v>36</v>
      </c>
      <c r="F49" s="2" t="s">
        <v>6</v>
      </c>
      <c r="G49" s="2">
        <v>200</v>
      </c>
      <c r="H49" s="1">
        <v>17.71</v>
      </c>
      <c r="I49" s="1">
        <f t="shared" si="1"/>
        <v>8.8550000000000004E-2</v>
      </c>
      <c r="J49" s="2" t="s">
        <v>76</v>
      </c>
      <c r="K49" s="2" t="s">
        <v>106</v>
      </c>
      <c r="L49" s="2" t="s">
        <v>5</v>
      </c>
      <c r="M49" s="2">
        <v>3.25</v>
      </c>
      <c r="N49" s="2">
        <f>Table13[[#This Row],[Doses per inhaler1,2]]*Table13[[#This Row],[Indicative carbon footprint /puff (g CO2e) 
Midpoint value7,8]]</f>
        <v>650</v>
      </c>
      <c r="O49" s="10" t="s">
        <v>671</v>
      </c>
      <c r="P49" s="3">
        <v>56</v>
      </c>
      <c r="Q49" s="3">
        <f>Table13[[#This Row],[Indicative carbon footprint /puff (g CO2e) 
Midpoint value7,8]]*Table13[[#This Row],[Number of puffs per 28 days1-4]]</f>
        <v>182</v>
      </c>
      <c r="R49" s="3">
        <f>13*Table13[[#This Row],[Indicative carbon footprint per 28 days (g CO2e)]]</f>
        <v>2366</v>
      </c>
      <c r="S49" s="3" t="str">
        <f>IF(Table13[[#This Row],[Indicative carbon footprint /puff (g CO2e) 
Midpoint value7,8]]&gt;=35,"High","Low")</f>
        <v>Low</v>
      </c>
      <c r="T49" s="3" t="s">
        <v>734</v>
      </c>
      <c r="U49" s="1">
        <f>Table13[[#This Row],[Number of puffs per 28 days1-4]]*Table13[[#This Row],[Cost/puff 1,5-7]]</f>
        <v>4.9588000000000001</v>
      </c>
      <c r="V49" s="1">
        <f>Table13[[#This Row],[Indicative cost per 28 days1,5]]*13</f>
        <v>64.464399999999998</v>
      </c>
      <c r="W49" s="1"/>
      <c r="X49" s="2" t="s">
        <v>14</v>
      </c>
      <c r="Y49" s="2" t="s">
        <v>5</v>
      </c>
      <c r="Z49" s="4" t="s">
        <v>108</v>
      </c>
      <c r="AA49" s="9" t="s">
        <v>45</v>
      </c>
      <c r="AB49" s="2" t="s">
        <v>17</v>
      </c>
      <c r="AC49" s="9" t="s">
        <v>5</v>
      </c>
      <c r="AD49" s="2" t="s">
        <v>105</v>
      </c>
      <c r="AE49" s="11">
        <v>330.24</v>
      </c>
      <c r="AF49" s="11">
        <v>244.55</v>
      </c>
      <c r="AG49" s="2" t="s">
        <v>328</v>
      </c>
      <c r="AH49" s="11">
        <v>11.28</v>
      </c>
      <c r="AI49" s="2" t="s">
        <v>5</v>
      </c>
      <c r="AJ49" s="11" t="s">
        <v>5</v>
      </c>
      <c r="AK49" s="11" t="s">
        <v>5</v>
      </c>
      <c r="AL49" s="11">
        <v>8.23</v>
      </c>
      <c r="AM49" s="11">
        <v>0</v>
      </c>
      <c r="AN49" s="11">
        <v>55.52</v>
      </c>
      <c r="AO49" s="2" t="s">
        <v>63</v>
      </c>
      <c r="AP49" s="11" t="s">
        <v>5</v>
      </c>
      <c r="AQ49" s="11" t="s">
        <v>5</v>
      </c>
      <c r="AR49" s="11" t="s">
        <v>736</v>
      </c>
      <c r="AS49" s="2" t="s">
        <v>310</v>
      </c>
    </row>
    <row r="50" spans="1:45" ht="60" x14ac:dyDescent="0.25">
      <c r="A50" s="2" t="s">
        <v>389</v>
      </c>
      <c r="B50" s="2" t="s">
        <v>102</v>
      </c>
      <c r="C50" s="2" t="s">
        <v>390</v>
      </c>
      <c r="D50" s="2" t="s">
        <v>18</v>
      </c>
      <c r="E50" s="2" t="s">
        <v>36</v>
      </c>
      <c r="F50" s="2" t="s">
        <v>6</v>
      </c>
      <c r="G50" s="2">
        <v>100</v>
      </c>
      <c r="H50" s="1">
        <v>17.71</v>
      </c>
      <c r="I50" s="1">
        <f t="shared" si="1"/>
        <v>0.17710000000000001</v>
      </c>
      <c r="J50" s="2" t="s">
        <v>76</v>
      </c>
      <c r="K50" s="2" t="s">
        <v>106</v>
      </c>
      <c r="L50" s="2" t="s">
        <v>5</v>
      </c>
      <c r="M50" s="2">
        <v>3.25</v>
      </c>
      <c r="N50" s="2">
        <v>650</v>
      </c>
      <c r="O50" s="10" t="s">
        <v>671</v>
      </c>
      <c r="P50" s="3">
        <v>56</v>
      </c>
      <c r="Q50" s="3">
        <f>Table13[[#This Row],[Indicative carbon footprint /puff (g CO2e) 
Midpoint value7,8]]*Table13[[#This Row],[Number of puffs per 28 days1-4]]</f>
        <v>182</v>
      </c>
      <c r="R50" s="3">
        <f>13*Table13[[#This Row],[Indicative carbon footprint per 28 days (g CO2e)]]</f>
        <v>2366</v>
      </c>
      <c r="S50" s="3" t="str">
        <f>IF(Table13[[#This Row],[Indicative carbon footprint /puff (g CO2e) 
Midpoint value7,8]]&gt;=35,"High","Low")</f>
        <v>Low</v>
      </c>
      <c r="T50" s="3" t="s">
        <v>734</v>
      </c>
      <c r="U50" s="1">
        <f>Table13[[#This Row],[Number of puffs per 28 days1-4]]*Table13[[#This Row],[Cost/puff 1,5-7]]</f>
        <v>9.9176000000000002</v>
      </c>
      <c r="V50" s="1">
        <f>Table13[[#This Row],[Indicative cost per 28 days1,5]]*13</f>
        <v>128.9288</v>
      </c>
      <c r="W50" s="1" t="s">
        <v>621</v>
      </c>
      <c r="X50" s="2" t="s">
        <v>14</v>
      </c>
      <c r="Y50" s="2" t="s">
        <v>5</v>
      </c>
      <c r="Z50" s="4" t="s">
        <v>109</v>
      </c>
      <c r="AB50" s="2" t="s">
        <v>17</v>
      </c>
      <c r="AD50" s="2" t="s">
        <v>105</v>
      </c>
      <c r="AE50" s="11">
        <v>330.24</v>
      </c>
      <c r="AF50" s="11">
        <v>244.55</v>
      </c>
      <c r="AG50" s="2" t="s">
        <v>328</v>
      </c>
      <c r="AH50" s="11">
        <v>11.28</v>
      </c>
      <c r="AI50" s="2" t="s">
        <v>5</v>
      </c>
      <c r="AJ50" s="11" t="s">
        <v>5</v>
      </c>
      <c r="AK50" s="11" t="s">
        <v>5</v>
      </c>
      <c r="AL50" s="11">
        <v>8.23</v>
      </c>
      <c r="AM50" s="11">
        <v>0</v>
      </c>
      <c r="AN50" s="11">
        <v>55.52</v>
      </c>
      <c r="AO50" s="2" t="s">
        <v>63</v>
      </c>
      <c r="AP50" s="11" t="s">
        <v>5</v>
      </c>
      <c r="AQ50" s="11" t="s">
        <v>5</v>
      </c>
      <c r="AR50" s="11" t="s">
        <v>736</v>
      </c>
      <c r="AS50" s="2" t="s">
        <v>310</v>
      </c>
    </row>
    <row r="51" spans="1:45" ht="60" x14ac:dyDescent="0.25">
      <c r="A51" s="2" t="s">
        <v>391</v>
      </c>
      <c r="B51" s="2" t="s">
        <v>102</v>
      </c>
      <c r="C51" s="2" t="s">
        <v>392</v>
      </c>
      <c r="D51" s="2" t="s">
        <v>10</v>
      </c>
      <c r="E51" s="2" t="s">
        <v>61</v>
      </c>
      <c r="F51" s="2" t="s">
        <v>6</v>
      </c>
      <c r="G51" s="2">
        <v>120</v>
      </c>
      <c r="H51" s="1">
        <v>23.75</v>
      </c>
      <c r="I51" s="1">
        <f t="shared" si="1"/>
        <v>0.19791666666666666</v>
      </c>
      <c r="J51" s="2" t="s">
        <v>76</v>
      </c>
      <c r="K51" s="2" t="s">
        <v>77</v>
      </c>
      <c r="L51" s="2" t="s">
        <v>5</v>
      </c>
      <c r="M51" s="2">
        <v>4.53</v>
      </c>
      <c r="N51" s="2">
        <f>Table13[[#This Row],[Doses per inhaler1,2]]*Table13[[#This Row],[Indicative carbon footprint /puff (g CO2e) 
Midpoint value7,8]]</f>
        <v>543.6</v>
      </c>
      <c r="O51" s="10" t="s">
        <v>671</v>
      </c>
      <c r="P51" s="3">
        <v>56</v>
      </c>
      <c r="Q51" s="3">
        <f>Table13[[#This Row],[Indicative carbon footprint /puff (g CO2e) 
Midpoint value7,8]]*Table13[[#This Row],[Number of puffs per 28 days1-4]]</f>
        <v>253.68</v>
      </c>
      <c r="R51" s="26">
        <f>13*Table13[[#This Row],[Indicative carbon footprint per 28 days (g CO2e)]]</f>
        <v>3297.84</v>
      </c>
      <c r="S51" s="3" t="str">
        <f>IF(Table13[[#This Row],[Indicative carbon footprint /puff (g CO2e) 
Midpoint value7,8]]&gt;=35,"High","Low")</f>
        <v>Low</v>
      </c>
      <c r="T51" s="3" t="s">
        <v>734</v>
      </c>
      <c r="U51" s="1">
        <f>Table13[[#This Row],[Number of puffs per 28 days1-4]]*Table13[[#This Row],[Cost/puff 1,5-7]]</f>
        <v>11.083333333333332</v>
      </c>
      <c r="V51" s="1">
        <f>Table13[[#This Row],[Indicative cost per 28 days1,5]]*13</f>
        <v>144.08333333333331</v>
      </c>
      <c r="W51" s="1"/>
      <c r="X51" s="2" t="s">
        <v>14</v>
      </c>
      <c r="Y51" s="2" t="s">
        <v>5</v>
      </c>
      <c r="Z51" s="4" t="s">
        <v>110</v>
      </c>
      <c r="AA51" s="9" t="s">
        <v>45</v>
      </c>
      <c r="AB51" s="2" t="s">
        <v>17</v>
      </c>
      <c r="AC51" s="9" t="s">
        <v>5</v>
      </c>
      <c r="AD51" s="2" t="s">
        <v>105</v>
      </c>
      <c r="AE51" s="11">
        <v>224.31</v>
      </c>
      <c r="AF51" s="11">
        <v>244.55</v>
      </c>
      <c r="AG51" s="2" t="s">
        <v>328</v>
      </c>
      <c r="AH51" s="11">
        <v>11.16</v>
      </c>
      <c r="AI51" s="2" t="s">
        <v>5</v>
      </c>
      <c r="AJ51" s="11" t="s">
        <v>5</v>
      </c>
      <c r="AK51" s="11" t="s">
        <v>5</v>
      </c>
      <c r="AL51" s="11">
        <v>8.11</v>
      </c>
      <c r="AM51" s="11">
        <v>0</v>
      </c>
      <c r="AN51" s="11">
        <v>55.52</v>
      </c>
      <c r="AO51" s="2" t="s">
        <v>63</v>
      </c>
      <c r="AP51" s="11" t="s">
        <v>5</v>
      </c>
      <c r="AQ51" s="11" t="s">
        <v>5</v>
      </c>
      <c r="AR51" s="11" t="s">
        <v>736</v>
      </c>
      <c r="AS51" s="2" t="s">
        <v>310</v>
      </c>
    </row>
    <row r="52" spans="1:45" ht="60" x14ac:dyDescent="0.25">
      <c r="A52" s="2" t="s">
        <v>393</v>
      </c>
      <c r="B52" s="2" t="s">
        <v>102</v>
      </c>
      <c r="C52" s="2" t="s">
        <v>343</v>
      </c>
      <c r="D52" s="2" t="s">
        <v>24</v>
      </c>
      <c r="E52" s="2" t="s">
        <v>25</v>
      </c>
      <c r="F52" s="2" t="s">
        <v>6</v>
      </c>
      <c r="G52" s="2">
        <v>200</v>
      </c>
      <c r="H52" s="1">
        <v>3.31</v>
      </c>
      <c r="I52" s="1">
        <f t="shared" si="1"/>
        <v>1.6549999999999999E-2</v>
      </c>
      <c r="J52" s="2" t="s">
        <v>26</v>
      </c>
      <c r="K52" s="2" t="s">
        <v>96</v>
      </c>
      <c r="L52" s="2" t="s">
        <v>5</v>
      </c>
      <c r="M52" s="2">
        <v>3.1</v>
      </c>
      <c r="N52" s="2">
        <f>Table13[[#This Row],[Doses per inhaler1,2]]*Table13[[#This Row],[Indicative carbon footprint /puff (g CO2e) 
Midpoint value7,8]]</f>
        <v>620</v>
      </c>
      <c r="O52" s="10" t="s">
        <v>671</v>
      </c>
      <c r="P52" s="3">
        <v>28</v>
      </c>
      <c r="Q52" s="3">
        <f>Table13[[#This Row],[Indicative carbon footprint /puff (g CO2e) 
Midpoint value7,8]]*Table13[[#This Row],[Number of puffs per 28 days1-4]]</f>
        <v>86.8</v>
      </c>
      <c r="R52" s="3">
        <f>13*Table13[[#This Row],[Indicative carbon footprint per 28 days (g CO2e)]]</f>
        <v>1128.3999999999999</v>
      </c>
      <c r="S52" s="3" t="str">
        <f>IF(Table13[[#This Row],[Indicative carbon footprint /puff (g CO2e) 
Midpoint value7,8]]&gt;=35,"High","Low")</f>
        <v>Low</v>
      </c>
      <c r="T52" s="3" t="s">
        <v>734</v>
      </c>
      <c r="U52" s="1">
        <f>Table13[[#This Row],[Number of puffs per 28 days1-4]]*Table13[[#This Row],[Cost/puff 1,5-7]]</f>
        <v>0.46339999999999998</v>
      </c>
      <c r="V52" s="1">
        <f>Table13[[#This Row],[Indicative cost per 28 days1,5]]*13</f>
        <v>6.0241999999999996</v>
      </c>
      <c r="W52" s="1"/>
      <c r="X52" s="2" t="s">
        <v>14</v>
      </c>
      <c r="Y52" s="2" t="s">
        <v>5</v>
      </c>
      <c r="Z52" s="4" t="s">
        <v>111</v>
      </c>
      <c r="AA52" s="9" t="s">
        <v>45</v>
      </c>
      <c r="AB52" s="2" t="s">
        <v>17</v>
      </c>
      <c r="AC52" s="9" t="s">
        <v>5</v>
      </c>
      <c r="AD52" s="2" t="s">
        <v>105</v>
      </c>
      <c r="AE52" s="11">
        <v>299.64999999999998</v>
      </c>
      <c r="AF52" s="11">
        <v>244.55</v>
      </c>
      <c r="AG52" s="2" t="s">
        <v>328</v>
      </c>
      <c r="AH52" s="11">
        <v>11.22</v>
      </c>
      <c r="AI52" s="2" t="s">
        <v>5</v>
      </c>
      <c r="AJ52" s="11" t="s">
        <v>5</v>
      </c>
      <c r="AK52" s="11" t="s">
        <v>5</v>
      </c>
      <c r="AL52" s="11">
        <v>8.1999999999999993</v>
      </c>
      <c r="AM52" s="11">
        <v>0</v>
      </c>
      <c r="AN52" s="11">
        <v>55.52</v>
      </c>
      <c r="AO52" s="2" t="s">
        <v>63</v>
      </c>
      <c r="AP52" s="11" t="s">
        <v>5</v>
      </c>
      <c r="AQ52" s="11" t="s">
        <v>5</v>
      </c>
      <c r="AR52" s="11" t="s">
        <v>736</v>
      </c>
      <c r="AS52" s="2" t="s">
        <v>310</v>
      </c>
    </row>
    <row r="53" spans="1:45" ht="60" x14ac:dyDescent="0.25">
      <c r="A53" s="2" t="s">
        <v>394</v>
      </c>
      <c r="B53" s="2" t="s">
        <v>102</v>
      </c>
      <c r="C53" s="2" t="s">
        <v>479</v>
      </c>
      <c r="D53" s="2" t="s">
        <v>24</v>
      </c>
      <c r="E53" s="2" t="s">
        <v>25</v>
      </c>
      <c r="F53" s="2" t="s">
        <v>6</v>
      </c>
      <c r="G53" s="2">
        <v>200</v>
      </c>
      <c r="H53" s="1">
        <v>6.63</v>
      </c>
      <c r="I53" s="1">
        <f t="shared" si="1"/>
        <v>3.3149999999999999E-2</v>
      </c>
      <c r="J53" s="2" t="s">
        <v>26</v>
      </c>
      <c r="K53" s="2" t="s">
        <v>96</v>
      </c>
      <c r="L53" s="2" t="s">
        <v>5</v>
      </c>
      <c r="M53" s="2">
        <v>3.1</v>
      </c>
      <c r="N53" s="2">
        <f>Table13[[#This Row],[Doses per inhaler1,2]]*Table13[[#This Row],[Indicative carbon footprint /puff (g CO2e) 
Midpoint value7,8]]</f>
        <v>620</v>
      </c>
      <c r="O53" s="10" t="s">
        <v>671</v>
      </c>
      <c r="P53" s="3">
        <v>28</v>
      </c>
      <c r="Q53" s="3">
        <f>Table13[[#This Row],[Indicative carbon footprint /puff (g CO2e) 
Midpoint value7,8]]*Table13[[#This Row],[Number of puffs per 28 days1-4]]</f>
        <v>86.8</v>
      </c>
      <c r="R53" s="3">
        <f>13*Table13[[#This Row],[Indicative carbon footprint per 28 days (g CO2e)]]</f>
        <v>1128.3999999999999</v>
      </c>
      <c r="S53" s="3" t="str">
        <f>IF(Table13[[#This Row],[Indicative carbon footprint /puff (g CO2e) 
Midpoint value7,8]]&gt;=35,"High","Low")</f>
        <v>Low</v>
      </c>
      <c r="T53" s="3" t="s">
        <v>734</v>
      </c>
      <c r="U53" s="1">
        <f>Table13[[#This Row],[Number of puffs per 28 days1-4]]*Table13[[#This Row],[Cost/puff 1,5-7]]</f>
        <v>0.92819999999999991</v>
      </c>
      <c r="V53" s="1">
        <f>Table13[[#This Row],[Indicative cost per 28 days1,5]]*13</f>
        <v>12.066599999999999</v>
      </c>
      <c r="W53" s="1"/>
      <c r="X53" s="2" t="s">
        <v>14</v>
      </c>
      <c r="Y53" s="2" t="s">
        <v>5</v>
      </c>
      <c r="Z53" s="4" t="s">
        <v>112</v>
      </c>
      <c r="AB53" s="2" t="s">
        <v>17</v>
      </c>
      <c r="AD53" s="2" t="s">
        <v>105</v>
      </c>
      <c r="AE53" s="11">
        <v>299.64999999999998</v>
      </c>
      <c r="AF53" s="11">
        <v>244.55</v>
      </c>
      <c r="AG53" s="2" t="s">
        <v>328</v>
      </c>
      <c r="AH53" s="11">
        <v>11.22</v>
      </c>
      <c r="AI53" s="2" t="s">
        <v>5</v>
      </c>
      <c r="AJ53" s="11" t="s">
        <v>5</v>
      </c>
      <c r="AK53" s="11" t="s">
        <v>5</v>
      </c>
      <c r="AL53" s="11">
        <v>8.1999999999999993</v>
      </c>
      <c r="AM53" s="11">
        <v>0</v>
      </c>
      <c r="AN53" s="11">
        <v>55.52</v>
      </c>
      <c r="AO53" s="2" t="s">
        <v>63</v>
      </c>
      <c r="AP53" s="11" t="s">
        <v>5</v>
      </c>
      <c r="AQ53" s="11" t="s">
        <v>5</v>
      </c>
      <c r="AR53" s="11" t="s">
        <v>736</v>
      </c>
      <c r="AS53" s="2" t="s">
        <v>310</v>
      </c>
    </row>
    <row r="54" spans="1:45" ht="60" x14ac:dyDescent="0.25">
      <c r="A54" s="2" t="s">
        <v>395</v>
      </c>
      <c r="B54" s="2" t="s">
        <v>35</v>
      </c>
      <c r="C54" s="2" t="s">
        <v>490</v>
      </c>
      <c r="D54" s="2" t="s">
        <v>43</v>
      </c>
      <c r="E54" s="2" t="s">
        <v>113</v>
      </c>
      <c r="F54" s="2" t="s">
        <v>6</v>
      </c>
      <c r="G54" s="2">
        <v>60</v>
      </c>
      <c r="H54" s="1">
        <v>32.5</v>
      </c>
      <c r="I54" s="1">
        <f t="shared" si="1"/>
        <v>0.54166666666666663</v>
      </c>
      <c r="J54" s="2" t="s">
        <v>12</v>
      </c>
      <c r="K54" s="2" t="s">
        <v>12</v>
      </c>
      <c r="L54" s="2" t="s">
        <v>5</v>
      </c>
      <c r="M54" s="2">
        <v>8.67</v>
      </c>
      <c r="N54" s="2">
        <f>Table13[[#This Row],[Doses per inhaler1,2]]*Table13[[#This Row],[Indicative carbon footprint /puff (g CO2e) 
Midpoint value7,8]]</f>
        <v>520.20000000000005</v>
      </c>
      <c r="O54" s="10" t="s">
        <v>671</v>
      </c>
      <c r="P54" s="3">
        <v>56</v>
      </c>
      <c r="Q54" s="3">
        <f>Table13[[#This Row],[Indicative carbon footprint /puff (g CO2e) 
Midpoint value7,8]]*Table13[[#This Row],[Number of puffs per 28 days1-4]]</f>
        <v>485.52</v>
      </c>
      <c r="R54" s="3">
        <f>13*Table13[[#This Row],[Indicative carbon footprint per 28 days (g CO2e)]]</f>
        <v>6311.76</v>
      </c>
      <c r="S54" s="3" t="str">
        <f>IF(Table13[[#This Row],[Indicative carbon footprint /puff (g CO2e) 
Midpoint value7,8]]&gt;=35,"High","Low")</f>
        <v>Low</v>
      </c>
      <c r="T54" s="3"/>
      <c r="U54" s="1">
        <f>Table13[[#This Row],[Number of puffs per 28 days1-4]]*Table13[[#This Row],[Cost/puff 1,5-7]]</f>
        <v>30.333333333333332</v>
      </c>
      <c r="V54" s="1">
        <f>Table13[[#This Row],[Indicative cost per 28 days1,5]]*13</f>
        <v>394.33333333333331</v>
      </c>
      <c r="W54" s="1"/>
      <c r="X54" s="2" t="s">
        <v>14</v>
      </c>
      <c r="Y54" s="2" t="s">
        <v>5</v>
      </c>
      <c r="Z54" s="4" t="s">
        <v>114</v>
      </c>
      <c r="AB54" s="2" t="s">
        <v>17</v>
      </c>
      <c r="AD54" s="2" t="s">
        <v>295</v>
      </c>
      <c r="AE54" s="2" t="s">
        <v>63</v>
      </c>
      <c r="AF54" s="2" t="s">
        <v>63</v>
      </c>
      <c r="AG54" s="2" t="s">
        <v>63</v>
      </c>
      <c r="AH54" s="2" t="s">
        <v>63</v>
      </c>
      <c r="AI54" s="2" t="s">
        <v>63</v>
      </c>
      <c r="AJ54" s="2" t="s">
        <v>63</v>
      </c>
      <c r="AK54" s="2" t="s">
        <v>63</v>
      </c>
      <c r="AL54" s="2" t="s">
        <v>63</v>
      </c>
      <c r="AM54" s="2" t="s">
        <v>63</v>
      </c>
      <c r="AN54" s="2" t="s">
        <v>63</v>
      </c>
      <c r="AO54" s="2" t="s">
        <v>63</v>
      </c>
      <c r="AP54" s="2" t="s">
        <v>63</v>
      </c>
      <c r="AQ54" s="2" t="s">
        <v>63</v>
      </c>
      <c r="AR54" s="2" t="s">
        <v>63</v>
      </c>
      <c r="AS54" s="2" t="s">
        <v>310</v>
      </c>
    </row>
    <row r="55" spans="1:45" ht="75" x14ac:dyDescent="0.25">
      <c r="A55" s="2" t="s">
        <v>115</v>
      </c>
      <c r="B55" s="2" t="s">
        <v>116</v>
      </c>
      <c r="C55" s="2" t="s">
        <v>491</v>
      </c>
      <c r="D55" s="2" t="s">
        <v>18</v>
      </c>
      <c r="E55" s="2" t="s">
        <v>117</v>
      </c>
      <c r="F55" s="2" t="s">
        <v>6</v>
      </c>
      <c r="G55" s="2">
        <v>30</v>
      </c>
      <c r="H55" s="1">
        <v>44.5</v>
      </c>
      <c r="I55" s="1">
        <f t="shared" si="1"/>
        <v>1.4833333333333334</v>
      </c>
      <c r="J55" s="2" t="s">
        <v>12</v>
      </c>
      <c r="K55" s="2" t="s">
        <v>12</v>
      </c>
      <c r="L55" s="2" t="s">
        <v>5</v>
      </c>
      <c r="M55" s="3">
        <v>17</v>
      </c>
      <c r="N55" s="3">
        <v>499</v>
      </c>
      <c r="O55" s="10" t="s">
        <v>671</v>
      </c>
      <c r="P55" s="3">
        <v>28</v>
      </c>
      <c r="Q55" s="3">
        <f>Table13[[#This Row],[Indicative carbon footprint /puff (g CO2e) 
Midpoint value7,8]]*Table13[[#This Row],[Number of puffs per 28 days1-4]]</f>
        <v>476</v>
      </c>
      <c r="R55" s="3">
        <f>13*Table13[[#This Row],[Indicative carbon footprint per 28 days (g CO2e)]]</f>
        <v>6188</v>
      </c>
      <c r="S55" s="3" t="str">
        <f>IF(Table13[[#This Row],[Indicative carbon footprint /puff (g CO2e) 
Midpoint value7,8]]&gt;=35,"High","Low")</f>
        <v>Low</v>
      </c>
      <c r="T55" s="3"/>
      <c r="U55" s="1">
        <f>Table13[[#This Row],[Number of puffs per 28 days1-4]]*Table13[[#This Row],[Cost/puff 1,5-7]]</f>
        <v>41.533333333333331</v>
      </c>
      <c r="V55" s="1">
        <f>Table13[[#This Row],[Indicative cost per 28 days1,5]]*13</f>
        <v>539.93333333333328</v>
      </c>
      <c r="W55" s="1"/>
      <c r="X55" s="2" t="s">
        <v>14</v>
      </c>
      <c r="Y55" s="2" t="s">
        <v>5</v>
      </c>
      <c r="Z55" s="4" t="s">
        <v>118</v>
      </c>
      <c r="AA55" s="9" t="s">
        <v>45</v>
      </c>
      <c r="AB55" s="2" t="s">
        <v>17</v>
      </c>
      <c r="AC55" s="2" t="s">
        <v>291</v>
      </c>
      <c r="AD55" s="2" t="s">
        <v>56</v>
      </c>
      <c r="AE55" s="3">
        <f>(0.13+0.01)*Table13[[#This Row],[Indicative carbon footprint /inhaler (g CO2e) 
Midpoint value7,8]]</f>
        <v>69.860000000000014</v>
      </c>
      <c r="AF55" s="3">
        <f>(0.19+0.23)*Table13[[#This Row],[Indicative carbon footprint /inhaler (g CO2e) 
Midpoint value7,8]]</f>
        <v>209.58</v>
      </c>
      <c r="AG55" s="3">
        <f>0.16*N55</f>
        <v>79.84</v>
      </c>
      <c r="AH55" s="2" t="s">
        <v>513</v>
      </c>
      <c r="AI55" s="3">
        <f>(0.22+0.01)*N55</f>
        <v>114.77000000000001</v>
      </c>
      <c r="AJ55" s="2" t="s">
        <v>57</v>
      </c>
      <c r="AK55" s="2" t="s">
        <v>5</v>
      </c>
      <c r="AL55" s="3">
        <f>0.01*N55</f>
        <v>4.99</v>
      </c>
      <c r="AM55" s="2">
        <v>0</v>
      </c>
      <c r="AN55" s="3">
        <f>0.04*N55</f>
        <v>19.96</v>
      </c>
      <c r="AO55" s="2" t="s">
        <v>5</v>
      </c>
      <c r="AP55" s="2" t="s">
        <v>5</v>
      </c>
      <c r="AQ55" s="2" t="s">
        <v>5</v>
      </c>
      <c r="AR55" s="2" t="s">
        <v>514</v>
      </c>
      <c r="AS55" s="10" t="s">
        <v>313</v>
      </c>
    </row>
    <row r="56" spans="1:45" ht="75" x14ac:dyDescent="0.25">
      <c r="A56" s="28" t="s">
        <v>119</v>
      </c>
      <c r="B56" s="2" t="s">
        <v>116</v>
      </c>
      <c r="C56" s="2" t="s">
        <v>492</v>
      </c>
      <c r="D56" s="2" t="s">
        <v>18</v>
      </c>
      <c r="E56" s="2" t="s">
        <v>117</v>
      </c>
      <c r="F56" s="2" t="s">
        <v>6</v>
      </c>
      <c r="G56" s="2">
        <v>30</v>
      </c>
      <c r="H56" s="1">
        <v>44.5</v>
      </c>
      <c r="I56" s="1">
        <f t="shared" si="1"/>
        <v>1.4833333333333334</v>
      </c>
      <c r="J56" s="2" t="s">
        <v>12</v>
      </c>
      <c r="K56" s="2" t="s">
        <v>12</v>
      </c>
      <c r="L56" s="2" t="s">
        <v>5</v>
      </c>
      <c r="M56" s="3">
        <v>13</v>
      </c>
      <c r="N56" s="3">
        <v>382</v>
      </c>
      <c r="O56" s="10" t="s">
        <v>671</v>
      </c>
      <c r="P56" s="3">
        <v>28</v>
      </c>
      <c r="Q56" s="29">
        <f>Table13[[#This Row],[Indicative carbon footprint /puff (g CO2e) 
Midpoint value7,8]]*Table13[[#This Row],[Number of puffs per 28 days1-4]]</f>
        <v>364</v>
      </c>
      <c r="R56" s="3">
        <f>13*Table13[[#This Row],[Indicative carbon footprint per 28 days (g CO2e)]]</f>
        <v>4732</v>
      </c>
      <c r="S56" s="3" t="str">
        <f>IF(Table13[[#This Row],[Indicative carbon footprint /puff (g CO2e) 
Midpoint value7,8]]&gt;=35,"High","Low")</f>
        <v>Low</v>
      </c>
      <c r="T56" s="3"/>
      <c r="U56" s="1">
        <f>Table13[[#This Row],[Number of puffs per 28 days1-4]]*Table13[[#This Row],[Cost/puff 1,5-7]]</f>
        <v>41.533333333333331</v>
      </c>
      <c r="V56" s="1">
        <f>Table13[[#This Row],[Indicative cost per 28 days1,5]]*13</f>
        <v>539.93333333333328</v>
      </c>
      <c r="W56" s="32"/>
      <c r="X56" s="1" t="s">
        <v>14</v>
      </c>
      <c r="Y56" s="2" t="s">
        <v>5</v>
      </c>
      <c r="Z56" s="4" t="s">
        <v>120</v>
      </c>
      <c r="AA56" s="9" t="s">
        <v>45</v>
      </c>
      <c r="AB56" s="2" t="s">
        <v>17</v>
      </c>
      <c r="AC56" s="2" t="s">
        <v>291</v>
      </c>
      <c r="AD56" s="2" t="s">
        <v>56</v>
      </c>
      <c r="AE56" s="3">
        <f>(0.17+0.01)*N56</f>
        <v>68.760000000000005</v>
      </c>
      <c r="AF56" s="3">
        <f>0.25*N56</f>
        <v>95.5</v>
      </c>
      <c r="AG56" s="3">
        <f>0.21*N56</f>
        <v>80.22</v>
      </c>
      <c r="AH56" s="2" t="s">
        <v>513</v>
      </c>
      <c r="AI56" s="3">
        <f>0.29*N56</f>
        <v>110.77999999999999</v>
      </c>
      <c r="AJ56" s="2" t="s">
        <v>57</v>
      </c>
      <c r="AK56" s="2" t="s">
        <v>5</v>
      </c>
      <c r="AL56" s="3">
        <f>0.02*N56</f>
        <v>7.6400000000000006</v>
      </c>
      <c r="AM56" s="2">
        <v>0</v>
      </c>
      <c r="AN56" s="3">
        <f>0.06*N56</f>
        <v>22.919999999999998</v>
      </c>
      <c r="AO56" s="2" t="s">
        <v>5</v>
      </c>
      <c r="AP56" s="2" t="s">
        <v>5</v>
      </c>
      <c r="AQ56" s="2" t="s">
        <v>5</v>
      </c>
      <c r="AR56" s="2" t="s">
        <v>514</v>
      </c>
      <c r="AS56" s="10" t="s">
        <v>313</v>
      </c>
    </row>
    <row r="57" spans="1:45" ht="60" x14ac:dyDescent="0.25">
      <c r="A57" s="28" t="s">
        <v>526</v>
      </c>
      <c r="B57" s="2" t="s">
        <v>519</v>
      </c>
      <c r="C57" s="2" t="s">
        <v>520</v>
      </c>
      <c r="D57" s="2" t="s">
        <v>18</v>
      </c>
      <c r="E57" s="2" t="s">
        <v>11</v>
      </c>
      <c r="F57" s="2" t="s">
        <v>6</v>
      </c>
      <c r="G57" s="2">
        <v>60</v>
      </c>
      <c r="H57" s="1">
        <v>14.47</v>
      </c>
      <c r="I57" s="1">
        <f t="shared" si="1"/>
        <v>0.24116666666666667</v>
      </c>
      <c r="J57" s="2" t="s">
        <v>37</v>
      </c>
      <c r="K57" s="2" t="s">
        <v>37</v>
      </c>
      <c r="L57" s="2" t="s">
        <v>13</v>
      </c>
      <c r="M57" s="27">
        <v>18.75</v>
      </c>
      <c r="N57" s="2">
        <f>Table13[[#This Row],[Doses per inhaler1,2]]*Table13[[#This Row],[Indicative carbon footprint /puff (g CO2e) 
Midpoint value7,8]]</f>
        <v>1125</v>
      </c>
      <c r="O57" s="10" t="s">
        <v>63</v>
      </c>
      <c r="P57" s="3">
        <v>56</v>
      </c>
      <c r="Q57" s="29">
        <f>Table13[[#This Row],[Indicative carbon footprint /puff (g CO2e) 
Midpoint value7,8]]*Table13[[#This Row],[Number of puffs per 28 days1-4]]</f>
        <v>1050</v>
      </c>
      <c r="R57" s="3">
        <f>13*Table13[[#This Row],[Indicative carbon footprint per 28 days (g CO2e)]]</f>
        <v>13650</v>
      </c>
      <c r="S57" s="3" t="str">
        <f>IF(Table13[[#This Row],[Indicative carbon footprint /puff (g CO2e) 
Midpoint value7,8]]&gt;=35,"High","Low")</f>
        <v>Low</v>
      </c>
      <c r="T57" s="3"/>
      <c r="U57" s="1">
        <f>Table13[[#This Row],[Number of puffs per 28 days1-4]]*Table13[[#This Row],[Cost/puff 1,5-7]]</f>
        <v>13.505333333333333</v>
      </c>
      <c r="V57" s="1">
        <f>Table13[[#This Row],[Indicative cost per 28 days1,5]]*13</f>
        <v>175.56933333333333</v>
      </c>
      <c r="W57" s="32"/>
      <c r="X57" s="1" t="s">
        <v>7</v>
      </c>
      <c r="Y57" s="2" t="s">
        <v>5</v>
      </c>
      <c r="Z57" s="4" t="s">
        <v>521</v>
      </c>
      <c r="AA57" s="2" t="s">
        <v>16</v>
      </c>
      <c r="AB57" s="2" t="s">
        <v>17</v>
      </c>
      <c r="AC57" s="9" t="s">
        <v>5</v>
      </c>
      <c r="AD57" s="2" t="s">
        <v>63</v>
      </c>
      <c r="AE57" s="2" t="s">
        <v>63</v>
      </c>
      <c r="AF57" s="2" t="s">
        <v>63</v>
      </c>
      <c r="AG57" s="2" t="s">
        <v>63</v>
      </c>
      <c r="AH57" s="2" t="s">
        <v>63</v>
      </c>
      <c r="AI57" s="2" t="s">
        <v>63</v>
      </c>
      <c r="AJ57" s="2" t="s">
        <v>63</v>
      </c>
      <c r="AK57" s="2" t="s">
        <v>63</v>
      </c>
      <c r="AL57" s="2" t="s">
        <v>63</v>
      </c>
      <c r="AM57" s="2" t="s">
        <v>63</v>
      </c>
      <c r="AN57" s="2" t="s">
        <v>63</v>
      </c>
      <c r="AO57" s="2" t="s">
        <v>63</v>
      </c>
      <c r="AP57" s="2" t="s">
        <v>63</v>
      </c>
      <c r="AQ57" s="2" t="s">
        <v>63</v>
      </c>
      <c r="AS57" s="10" t="s">
        <v>313</v>
      </c>
    </row>
    <row r="58" spans="1:45" ht="60" x14ac:dyDescent="0.25">
      <c r="A58" s="28" t="s">
        <v>527</v>
      </c>
      <c r="B58" s="2" t="s">
        <v>519</v>
      </c>
      <c r="C58" s="2" t="s">
        <v>522</v>
      </c>
      <c r="D58" s="2" t="s">
        <v>18</v>
      </c>
      <c r="E58" s="2" t="s">
        <v>11</v>
      </c>
      <c r="F58" s="2" t="s">
        <v>6</v>
      </c>
      <c r="G58" s="2">
        <v>60</v>
      </c>
      <c r="H58" s="1">
        <v>19.29</v>
      </c>
      <c r="I58" s="1">
        <f t="shared" si="1"/>
        <v>0.32150000000000001</v>
      </c>
      <c r="J58" s="2" t="s">
        <v>37</v>
      </c>
      <c r="K58" s="2" t="s">
        <v>37</v>
      </c>
      <c r="L58" s="2" t="s">
        <v>13</v>
      </c>
      <c r="M58" s="27">
        <v>18.75</v>
      </c>
      <c r="N58" s="2">
        <f>Table13[[#This Row],[Doses per inhaler1,2]]*Table13[[#This Row],[Indicative carbon footprint /puff (g CO2e) 
Midpoint value7,8]]</f>
        <v>1125</v>
      </c>
      <c r="O58" s="10" t="s">
        <v>63</v>
      </c>
      <c r="P58" s="3">
        <v>56</v>
      </c>
      <c r="Q58" s="29">
        <f>Table13[[#This Row],[Indicative carbon footprint /puff (g CO2e) 
Midpoint value7,8]]*Table13[[#This Row],[Number of puffs per 28 days1-4]]</f>
        <v>1050</v>
      </c>
      <c r="R58" s="3">
        <f>13*Table13[[#This Row],[Indicative carbon footprint per 28 days (g CO2e)]]</f>
        <v>13650</v>
      </c>
      <c r="S58" s="3" t="str">
        <f>IF(Table13[[#This Row],[Indicative carbon footprint /puff (g CO2e) 
Midpoint value7,8]]&gt;=35,"High","Low")</f>
        <v>Low</v>
      </c>
      <c r="T58" s="3"/>
      <c r="U58" s="1">
        <f>Table13[[#This Row],[Number of puffs per 28 days1-4]]*Table13[[#This Row],[Cost/puff 1,5-7]]</f>
        <v>18.004000000000001</v>
      </c>
      <c r="V58" s="1">
        <f>Table13[[#This Row],[Indicative cost per 28 days1,5]]*13</f>
        <v>234.05200000000002</v>
      </c>
      <c r="W58" s="32"/>
      <c r="X58" s="1" t="s">
        <v>7</v>
      </c>
      <c r="Y58" s="2" t="s">
        <v>5</v>
      </c>
      <c r="Z58" s="4" t="s">
        <v>523</v>
      </c>
      <c r="AA58" s="2" t="s">
        <v>16</v>
      </c>
      <c r="AB58" s="2" t="s">
        <v>17</v>
      </c>
      <c r="AC58" s="9" t="s">
        <v>5</v>
      </c>
      <c r="AD58" s="2" t="s">
        <v>63</v>
      </c>
      <c r="AE58" s="2" t="s">
        <v>63</v>
      </c>
      <c r="AF58" s="2" t="s">
        <v>63</v>
      </c>
      <c r="AG58" s="2" t="s">
        <v>63</v>
      </c>
      <c r="AH58" s="2" t="s">
        <v>63</v>
      </c>
      <c r="AI58" s="2" t="s">
        <v>63</v>
      </c>
      <c r="AJ58" s="2" t="s">
        <v>63</v>
      </c>
      <c r="AK58" s="2" t="s">
        <v>63</v>
      </c>
      <c r="AL58" s="2" t="s">
        <v>63</v>
      </c>
      <c r="AM58" s="2" t="s">
        <v>63</v>
      </c>
      <c r="AN58" s="2" t="s">
        <v>63</v>
      </c>
      <c r="AO58" s="2" t="s">
        <v>63</v>
      </c>
      <c r="AP58" s="2" t="s">
        <v>63</v>
      </c>
      <c r="AQ58" s="2" t="s">
        <v>63</v>
      </c>
      <c r="AS58" s="10" t="s">
        <v>313</v>
      </c>
    </row>
    <row r="59" spans="1:45" ht="60" x14ac:dyDescent="0.25">
      <c r="A59" s="2" t="s">
        <v>528</v>
      </c>
      <c r="B59" s="2" t="s">
        <v>519</v>
      </c>
      <c r="C59" s="2" t="s">
        <v>524</v>
      </c>
      <c r="D59" s="2" t="s">
        <v>10</v>
      </c>
      <c r="E59" s="2" t="s">
        <v>11</v>
      </c>
      <c r="F59" s="2" t="s">
        <v>6</v>
      </c>
      <c r="G59" s="2">
        <v>60</v>
      </c>
      <c r="H59" s="1">
        <v>16.12</v>
      </c>
      <c r="I59" s="1">
        <f t="shared" si="1"/>
        <v>0.26866666666666666</v>
      </c>
      <c r="J59" s="2" t="s">
        <v>37</v>
      </c>
      <c r="K59" s="2" t="s">
        <v>37</v>
      </c>
      <c r="L59" s="2" t="s">
        <v>13</v>
      </c>
      <c r="M59" s="27">
        <v>18.75</v>
      </c>
      <c r="N59" s="2">
        <f>Table13[[#This Row],[Doses per inhaler1,2]]*Table13[[#This Row],[Indicative carbon footprint /puff (g CO2e) 
Midpoint value7,8]]</f>
        <v>1125</v>
      </c>
      <c r="O59" s="10" t="s">
        <v>63</v>
      </c>
      <c r="P59" s="3">
        <v>56</v>
      </c>
      <c r="Q59" s="3">
        <f>Table13[[#This Row],[Indicative carbon footprint /puff (g CO2e) 
Midpoint value7,8]]*Table13[[#This Row],[Number of puffs per 28 days1-4]]</f>
        <v>1050</v>
      </c>
      <c r="R59" s="3">
        <f>13*Table13[[#This Row],[Indicative carbon footprint per 28 days (g CO2e)]]</f>
        <v>13650</v>
      </c>
      <c r="S59" s="3" t="str">
        <f>IF(Table13[[#This Row],[Indicative carbon footprint /puff (g CO2e) 
Midpoint value7,8]]&gt;=35,"High","Low")</f>
        <v>Low</v>
      </c>
      <c r="T59" s="3"/>
      <c r="U59" s="1">
        <f>Table13[[#This Row],[Number of puffs per 28 days1-4]]*Table13[[#This Row],[Cost/puff 1,5-7]]</f>
        <v>15.045333333333334</v>
      </c>
      <c r="V59" s="1">
        <f>Table13[[#This Row],[Indicative cost per 28 days1,5]]*13</f>
        <v>195.58933333333334</v>
      </c>
      <c r="W59" s="1"/>
      <c r="X59" s="1" t="s">
        <v>7</v>
      </c>
      <c r="Y59" s="2" t="s">
        <v>5</v>
      </c>
      <c r="Z59" s="4" t="s">
        <v>525</v>
      </c>
      <c r="AA59" s="2" t="s">
        <v>16</v>
      </c>
      <c r="AB59" s="2" t="s">
        <v>17</v>
      </c>
      <c r="AC59" s="9" t="s">
        <v>5</v>
      </c>
      <c r="AD59" s="2" t="s">
        <v>63</v>
      </c>
      <c r="AE59" s="2" t="s">
        <v>63</v>
      </c>
      <c r="AF59" s="2" t="s">
        <v>63</v>
      </c>
      <c r="AG59" s="2" t="s">
        <v>63</v>
      </c>
      <c r="AH59" s="2" t="s">
        <v>63</v>
      </c>
      <c r="AI59" s="2" t="s">
        <v>63</v>
      </c>
      <c r="AJ59" s="2" t="s">
        <v>63</v>
      </c>
      <c r="AK59" s="2" t="s">
        <v>63</v>
      </c>
      <c r="AL59" s="2" t="s">
        <v>63</v>
      </c>
      <c r="AM59" s="2" t="s">
        <v>63</v>
      </c>
      <c r="AN59" s="2" t="s">
        <v>63</v>
      </c>
      <c r="AO59" s="2" t="s">
        <v>63</v>
      </c>
      <c r="AP59" s="2" t="s">
        <v>63</v>
      </c>
      <c r="AQ59" s="2" t="s">
        <v>63</v>
      </c>
      <c r="AS59" s="10" t="s">
        <v>313</v>
      </c>
    </row>
    <row r="60" spans="1:45" ht="105" x14ac:dyDescent="0.25">
      <c r="A60" s="2" t="s">
        <v>121</v>
      </c>
      <c r="B60" s="2" t="s">
        <v>41</v>
      </c>
      <c r="C60" s="2" t="s">
        <v>396</v>
      </c>
      <c r="D60" s="2" t="s">
        <v>18</v>
      </c>
      <c r="E60" s="2" t="s">
        <v>36</v>
      </c>
      <c r="F60" s="2" t="s">
        <v>6</v>
      </c>
      <c r="G60" s="2">
        <v>60</v>
      </c>
      <c r="H60" s="1">
        <v>4.0199999999999996</v>
      </c>
      <c r="I60" s="1">
        <f t="shared" si="1"/>
        <v>6.699999999999999E-2</v>
      </c>
      <c r="J60" s="2" t="s">
        <v>122</v>
      </c>
      <c r="K60" s="2" t="s">
        <v>123</v>
      </c>
      <c r="L60" s="2" t="s">
        <v>5</v>
      </c>
      <c r="M60" s="2">
        <v>14</v>
      </c>
      <c r="N60" s="2">
        <v>833</v>
      </c>
      <c r="O60" s="10" t="s">
        <v>671</v>
      </c>
      <c r="P60" s="3">
        <v>56</v>
      </c>
      <c r="Q60" s="3">
        <f>Table13[[#This Row],[Indicative carbon footprint /puff (g CO2e) 
Midpoint value7,8]]*Table13[[#This Row],[Number of puffs per 28 days1-4]]</f>
        <v>784</v>
      </c>
      <c r="R60" s="3">
        <f>13*Table13[[#This Row],[Indicative carbon footprint per 28 days (g CO2e)]]</f>
        <v>10192</v>
      </c>
      <c r="S60" s="3" t="str">
        <f>IF(Table13[[#This Row],[Indicative carbon footprint /puff (g CO2e) 
Midpoint value7,8]]&gt;=35,"High","Low")</f>
        <v>Low</v>
      </c>
      <c r="T60" s="3"/>
      <c r="U60" s="1">
        <f>Table13[[#This Row],[Number of puffs per 28 days1-4]]*Table13[[#This Row],[Cost/puff 1,5-7]]</f>
        <v>3.7519999999999993</v>
      </c>
      <c r="V60" s="1">
        <f>Table13[[#This Row],[Indicative cost per 28 days1,5]]*13</f>
        <v>48.775999999999989</v>
      </c>
      <c r="W60" s="2" t="s">
        <v>506</v>
      </c>
      <c r="X60" s="1" t="s">
        <v>14</v>
      </c>
      <c r="Y60" s="2" t="s">
        <v>5</v>
      </c>
      <c r="Z60" s="4" t="s">
        <v>692</v>
      </c>
      <c r="AA60" s="2" t="s">
        <v>45</v>
      </c>
      <c r="AB60" s="2" t="s">
        <v>5</v>
      </c>
      <c r="AC60" s="2" t="s">
        <v>5</v>
      </c>
      <c r="AD60" s="2" t="s">
        <v>46</v>
      </c>
      <c r="AE60" s="2">
        <v>243</v>
      </c>
      <c r="AF60" s="2">
        <v>258</v>
      </c>
      <c r="AG60" s="2" t="s">
        <v>515</v>
      </c>
      <c r="AH60" s="2" t="s">
        <v>322</v>
      </c>
      <c r="AI60" s="2">
        <v>152</v>
      </c>
      <c r="AJ60" s="2" t="s">
        <v>516</v>
      </c>
      <c r="AK60" s="2" t="s">
        <v>516</v>
      </c>
      <c r="AL60" s="2">
        <v>62</v>
      </c>
      <c r="AM60" s="2">
        <v>126</v>
      </c>
      <c r="AN60" s="2">
        <v>9</v>
      </c>
      <c r="AO60" s="2" t="s">
        <v>63</v>
      </c>
      <c r="AP60" s="2" t="s">
        <v>5</v>
      </c>
      <c r="AQ60" s="2" t="s">
        <v>5</v>
      </c>
      <c r="AR60" s="2" t="s">
        <v>47</v>
      </c>
      <c r="AS60" s="10" t="s">
        <v>310</v>
      </c>
    </row>
    <row r="61" spans="1:45" ht="105" x14ac:dyDescent="0.25">
      <c r="A61" s="2" t="s">
        <v>124</v>
      </c>
      <c r="B61" s="2" t="s">
        <v>41</v>
      </c>
      <c r="C61" s="2" t="s">
        <v>397</v>
      </c>
      <c r="D61" s="2" t="s">
        <v>18</v>
      </c>
      <c r="E61" s="2" t="s">
        <v>36</v>
      </c>
      <c r="F61" s="2" t="s">
        <v>6</v>
      </c>
      <c r="G61" s="2">
        <v>60</v>
      </c>
      <c r="H61" s="1">
        <v>4.2300000000000004</v>
      </c>
      <c r="I61" s="1">
        <f t="shared" si="1"/>
        <v>7.0500000000000007E-2</v>
      </c>
      <c r="J61" s="2" t="s">
        <v>125</v>
      </c>
      <c r="K61" s="2" t="s">
        <v>126</v>
      </c>
      <c r="L61" s="2" t="s">
        <v>5</v>
      </c>
      <c r="M61" s="2">
        <v>14</v>
      </c>
      <c r="N61" s="2">
        <v>833</v>
      </c>
      <c r="O61" s="10" t="s">
        <v>671</v>
      </c>
      <c r="P61" s="3">
        <v>56</v>
      </c>
      <c r="Q61" s="3">
        <f>Table13[[#This Row],[Indicative carbon footprint /puff (g CO2e) 
Midpoint value7,8]]*Table13[[#This Row],[Number of puffs per 28 days1-4]]</f>
        <v>784</v>
      </c>
      <c r="R61" s="3">
        <f>13*Table13[[#This Row],[Indicative carbon footprint per 28 days (g CO2e)]]</f>
        <v>10192</v>
      </c>
      <c r="S61" s="3" t="str">
        <f>IF(Table13[[#This Row],[Indicative carbon footprint /puff (g CO2e) 
Midpoint value7,8]]&gt;=35,"High","Low")</f>
        <v>Low</v>
      </c>
      <c r="T61" s="3"/>
      <c r="U61" s="1">
        <f>Table13[[#This Row],[Number of puffs per 28 days1-4]]*Table13[[#This Row],[Cost/puff 1,5-7]]</f>
        <v>3.9480000000000004</v>
      </c>
      <c r="V61" s="1">
        <f>Table13[[#This Row],[Indicative cost per 28 days1,5]]*13</f>
        <v>51.324000000000005</v>
      </c>
      <c r="W61" s="2" t="s">
        <v>506</v>
      </c>
      <c r="X61" s="1" t="s">
        <v>14</v>
      </c>
      <c r="Y61" s="2" t="s">
        <v>5</v>
      </c>
      <c r="Z61" s="4" t="s">
        <v>691</v>
      </c>
      <c r="AA61" s="2" t="s">
        <v>45</v>
      </c>
      <c r="AB61" s="2" t="s">
        <v>5</v>
      </c>
      <c r="AC61" s="2" t="s">
        <v>5</v>
      </c>
      <c r="AD61" s="2" t="s">
        <v>46</v>
      </c>
      <c r="AE61" s="2">
        <v>243</v>
      </c>
      <c r="AF61" s="2">
        <v>258</v>
      </c>
      <c r="AG61" s="2" t="s">
        <v>515</v>
      </c>
      <c r="AH61" s="2" t="s">
        <v>322</v>
      </c>
      <c r="AI61" s="2">
        <v>152</v>
      </c>
      <c r="AJ61" s="2" t="s">
        <v>516</v>
      </c>
      <c r="AK61" s="2" t="s">
        <v>516</v>
      </c>
      <c r="AL61" s="2">
        <v>62</v>
      </c>
      <c r="AM61" s="2">
        <v>126</v>
      </c>
      <c r="AN61" s="2">
        <v>9</v>
      </c>
      <c r="AO61" s="2" t="s">
        <v>63</v>
      </c>
      <c r="AP61" s="2" t="s">
        <v>5</v>
      </c>
      <c r="AQ61" s="2" t="s">
        <v>5</v>
      </c>
      <c r="AR61" s="2" t="s">
        <v>47</v>
      </c>
      <c r="AS61" s="10" t="s">
        <v>310</v>
      </c>
    </row>
    <row r="62" spans="1:45" ht="105" x14ac:dyDescent="0.25">
      <c r="A62" s="2" t="s">
        <v>127</v>
      </c>
      <c r="B62" s="2" t="s">
        <v>41</v>
      </c>
      <c r="C62" s="2" t="s">
        <v>398</v>
      </c>
      <c r="D62" s="2" t="s">
        <v>18</v>
      </c>
      <c r="E62" s="2" t="s">
        <v>36</v>
      </c>
      <c r="F62" s="2" t="s">
        <v>6</v>
      </c>
      <c r="G62" s="2">
        <v>60</v>
      </c>
      <c r="H62" s="1">
        <v>4</v>
      </c>
      <c r="I62" s="1">
        <f t="shared" ref="I62:I93" si="2">H62/G62</f>
        <v>6.6666666666666666E-2</v>
      </c>
      <c r="J62" s="2" t="s">
        <v>122</v>
      </c>
      <c r="K62" s="2" t="s">
        <v>123</v>
      </c>
      <c r="L62" s="2" t="s">
        <v>5</v>
      </c>
      <c r="M62" s="2">
        <v>14</v>
      </c>
      <c r="N62" s="2">
        <v>833</v>
      </c>
      <c r="O62" s="10" t="s">
        <v>671</v>
      </c>
      <c r="P62" s="3">
        <v>56</v>
      </c>
      <c r="Q62" s="3">
        <f>Table13[[#This Row],[Indicative carbon footprint /puff (g CO2e) 
Midpoint value7,8]]*Table13[[#This Row],[Number of puffs per 28 days1-4]]</f>
        <v>784</v>
      </c>
      <c r="R62" s="3">
        <f>13*Table13[[#This Row],[Indicative carbon footprint per 28 days (g CO2e)]]</f>
        <v>10192</v>
      </c>
      <c r="S62" s="3" t="str">
        <f>IF(Table13[[#This Row],[Indicative carbon footprint /puff (g CO2e) 
Midpoint value7,8]]&gt;=35,"High","Low")</f>
        <v>Low</v>
      </c>
      <c r="T62" s="3"/>
      <c r="U62" s="1">
        <f>Table13[[#This Row],[Number of puffs per 28 days1-4]]*Table13[[#This Row],[Cost/puff 1,5-7]]</f>
        <v>3.7333333333333334</v>
      </c>
      <c r="V62" s="1">
        <f>Table13[[#This Row],[Indicative cost per 28 days1,5]]*13</f>
        <v>48.533333333333331</v>
      </c>
      <c r="W62" s="2" t="s">
        <v>506</v>
      </c>
      <c r="X62" s="1" t="s">
        <v>14</v>
      </c>
      <c r="Y62" s="2" t="s">
        <v>5</v>
      </c>
      <c r="Z62" s="4" t="s">
        <v>128</v>
      </c>
      <c r="AA62" s="2" t="s">
        <v>45</v>
      </c>
      <c r="AB62" s="2" t="s">
        <v>5</v>
      </c>
      <c r="AC62" s="2" t="s">
        <v>5</v>
      </c>
      <c r="AD62" s="2" t="s">
        <v>46</v>
      </c>
      <c r="AE62" s="2">
        <v>243</v>
      </c>
      <c r="AF62" s="2">
        <v>258</v>
      </c>
      <c r="AG62" s="2" t="s">
        <v>515</v>
      </c>
      <c r="AH62" s="2" t="s">
        <v>322</v>
      </c>
      <c r="AI62" s="2">
        <v>152</v>
      </c>
      <c r="AJ62" s="2" t="s">
        <v>516</v>
      </c>
      <c r="AK62" s="2" t="s">
        <v>516</v>
      </c>
      <c r="AL62" s="2">
        <v>62</v>
      </c>
      <c r="AM62" s="2">
        <v>126</v>
      </c>
      <c r="AN62" s="2">
        <v>9</v>
      </c>
      <c r="AO62" s="2" t="s">
        <v>63</v>
      </c>
      <c r="AP62" s="2" t="s">
        <v>5</v>
      </c>
      <c r="AQ62" s="2" t="s">
        <v>5</v>
      </c>
      <c r="AR62" s="2" t="s">
        <v>47</v>
      </c>
      <c r="AS62" s="10" t="s">
        <v>310</v>
      </c>
    </row>
    <row r="63" spans="1:45" ht="105" x14ac:dyDescent="0.25">
      <c r="A63" s="2" t="s">
        <v>129</v>
      </c>
      <c r="B63" s="2" t="s">
        <v>41</v>
      </c>
      <c r="C63" s="2" t="s">
        <v>399</v>
      </c>
      <c r="D63" s="2" t="s">
        <v>18</v>
      </c>
      <c r="E63" s="2" t="s">
        <v>36</v>
      </c>
      <c r="F63" s="2" t="s">
        <v>6</v>
      </c>
      <c r="G63" s="2">
        <v>60</v>
      </c>
      <c r="H63" s="1">
        <v>4.7300000000000004</v>
      </c>
      <c r="I63" s="1">
        <f t="shared" si="2"/>
        <v>7.8833333333333339E-2</v>
      </c>
      <c r="J63" s="2" t="s">
        <v>125</v>
      </c>
      <c r="K63" s="2" t="s">
        <v>126</v>
      </c>
      <c r="L63" s="2" t="s">
        <v>5</v>
      </c>
      <c r="M63" s="2">
        <v>14</v>
      </c>
      <c r="N63" s="2">
        <v>833</v>
      </c>
      <c r="O63" s="10" t="s">
        <v>671</v>
      </c>
      <c r="P63" s="3">
        <v>56</v>
      </c>
      <c r="Q63" s="3">
        <f>Table13[[#This Row],[Indicative carbon footprint /puff (g CO2e) 
Midpoint value7,8]]*Table13[[#This Row],[Number of puffs per 28 days1-4]]</f>
        <v>784</v>
      </c>
      <c r="R63" s="3">
        <f>13*Table13[[#This Row],[Indicative carbon footprint per 28 days (g CO2e)]]</f>
        <v>10192</v>
      </c>
      <c r="S63" s="3" t="str">
        <f>IF(Table13[[#This Row],[Indicative carbon footprint /puff (g CO2e) 
Midpoint value7,8]]&gt;=35,"High","Low")</f>
        <v>Low</v>
      </c>
      <c r="T63" s="3"/>
      <c r="U63" s="1">
        <f>Table13[[#This Row],[Number of puffs per 28 days1-4]]*Table13[[#This Row],[Cost/puff 1,5-7]]</f>
        <v>4.4146666666666672</v>
      </c>
      <c r="V63" s="1">
        <f>Table13[[#This Row],[Indicative cost per 28 days1,5]]*13</f>
        <v>57.390666666666675</v>
      </c>
      <c r="W63" s="2" t="s">
        <v>506</v>
      </c>
      <c r="X63" s="1" t="s">
        <v>14</v>
      </c>
      <c r="Y63" s="2" t="s">
        <v>5</v>
      </c>
      <c r="Z63" s="4" t="s">
        <v>130</v>
      </c>
      <c r="AA63" s="2" t="s">
        <v>45</v>
      </c>
      <c r="AB63" s="2" t="s">
        <v>5</v>
      </c>
      <c r="AC63" s="2" t="s">
        <v>5</v>
      </c>
      <c r="AD63" s="2" t="s">
        <v>46</v>
      </c>
      <c r="AE63" s="2">
        <v>243</v>
      </c>
      <c r="AF63" s="2">
        <v>258</v>
      </c>
      <c r="AG63" s="2" t="s">
        <v>515</v>
      </c>
      <c r="AH63" s="2" t="s">
        <v>322</v>
      </c>
      <c r="AI63" s="2">
        <v>152</v>
      </c>
      <c r="AJ63" s="2" t="s">
        <v>516</v>
      </c>
      <c r="AK63" s="2" t="s">
        <v>516</v>
      </c>
      <c r="AL63" s="2">
        <v>62</v>
      </c>
      <c r="AM63" s="2">
        <v>126</v>
      </c>
      <c r="AN63" s="2">
        <v>9</v>
      </c>
      <c r="AO63" s="2" t="s">
        <v>63</v>
      </c>
      <c r="AP63" s="2" t="s">
        <v>5</v>
      </c>
      <c r="AQ63" s="2" t="s">
        <v>5</v>
      </c>
      <c r="AR63" s="2" t="s">
        <v>47</v>
      </c>
      <c r="AS63" s="10" t="s">
        <v>310</v>
      </c>
    </row>
    <row r="64" spans="1:45" ht="105" x14ac:dyDescent="0.25">
      <c r="A64" s="2" t="s">
        <v>400</v>
      </c>
      <c r="B64" s="2" t="s">
        <v>41</v>
      </c>
      <c r="C64" s="2" t="s">
        <v>401</v>
      </c>
      <c r="D64" s="2" t="s">
        <v>18</v>
      </c>
      <c r="E64" s="2" t="s">
        <v>36</v>
      </c>
      <c r="F64" s="2" t="s">
        <v>19</v>
      </c>
      <c r="G64" s="2">
        <v>120</v>
      </c>
      <c r="H64" s="1">
        <v>21.26</v>
      </c>
      <c r="I64" s="1">
        <f t="shared" si="2"/>
        <v>0.17716666666666667</v>
      </c>
      <c r="J64" s="2" t="s">
        <v>122</v>
      </c>
      <c r="K64" s="2" t="s">
        <v>123</v>
      </c>
      <c r="L64" s="2" t="s">
        <v>5</v>
      </c>
      <c r="M64" s="2">
        <v>158</v>
      </c>
      <c r="N64" s="2">
        <v>19277</v>
      </c>
      <c r="O64" s="10" t="s">
        <v>671</v>
      </c>
      <c r="P64" s="3">
        <v>112</v>
      </c>
      <c r="Q64" s="3">
        <f>Table13[[#This Row],[Indicative carbon footprint /puff (g CO2e) 
Midpoint value7,8]]*Table13[[#This Row],[Number of puffs per 28 days1-4]]</f>
        <v>17696</v>
      </c>
      <c r="R64" s="3">
        <f>13*Table13[[#This Row],[Indicative carbon footprint per 28 days (g CO2e)]]</f>
        <v>230048</v>
      </c>
      <c r="S64" s="3" t="str">
        <f>IF(Table13[[#This Row],[Indicative carbon footprint /puff (g CO2e) 
Midpoint value7,8]]&gt;=35,"High","Low")</f>
        <v>High</v>
      </c>
      <c r="T64" s="3"/>
      <c r="U64" s="1">
        <f>Table13[[#This Row],[Number of puffs per 28 days1-4]]*Table13[[#This Row],[Cost/puff 1,5-7]]</f>
        <v>19.842666666666666</v>
      </c>
      <c r="V64" s="1">
        <f>Table13[[#This Row],[Indicative cost per 28 days1,5]]*13</f>
        <v>257.95466666666664</v>
      </c>
      <c r="W64" s="2" t="s">
        <v>507</v>
      </c>
      <c r="X64" s="1" t="s">
        <v>14</v>
      </c>
      <c r="Y64" s="2" t="s">
        <v>210</v>
      </c>
      <c r="Z64" s="4" t="s">
        <v>131</v>
      </c>
      <c r="AA64" s="2" t="s">
        <v>45</v>
      </c>
      <c r="AD64" s="2" t="s">
        <v>46</v>
      </c>
      <c r="AE64" s="2">
        <v>50</v>
      </c>
      <c r="AF64" s="2">
        <v>65</v>
      </c>
      <c r="AG64" s="2" t="s">
        <v>515</v>
      </c>
      <c r="AH64" s="2" t="s">
        <v>322</v>
      </c>
      <c r="AI64" s="2">
        <v>1926</v>
      </c>
      <c r="AJ64" s="2" t="s">
        <v>516</v>
      </c>
      <c r="AK64" s="2" t="s">
        <v>516</v>
      </c>
      <c r="AL64" s="2">
        <v>30</v>
      </c>
      <c r="AM64" s="2">
        <v>11276</v>
      </c>
      <c r="AN64" s="2">
        <v>5654</v>
      </c>
      <c r="AO64" s="2" t="s">
        <v>63</v>
      </c>
      <c r="AP64" s="2" t="s">
        <v>132</v>
      </c>
      <c r="AQ64" s="2" t="s">
        <v>63</v>
      </c>
      <c r="AR64" s="2" t="s">
        <v>63</v>
      </c>
      <c r="AS64" s="10" t="s">
        <v>312</v>
      </c>
    </row>
    <row r="65" spans="1:45" ht="105" x14ac:dyDescent="0.25">
      <c r="A65" s="2" t="s">
        <v>133</v>
      </c>
      <c r="B65" s="2" t="s">
        <v>41</v>
      </c>
      <c r="C65" s="2" t="s">
        <v>402</v>
      </c>
      <c r="D65" s="2" t="s">
        <v>18</v>
      </c>
      <c r="E65" s="2" t="s">
        <v>36</v>
      </c>
      <c r="F65" s="2" t="s">
        <v>19</v>
      </c>
      <c r="G65" s="2">
        <v>120</v>
      </c>
      <c r="H65" s="1">
        <v>36.14</v>
      </c>
      <c r="I65" s="1">
        <f t="shared" si="2"/>
        <v>0.30116666666666669</v>
      </c>
      <c r="J65" s="2" t="s">
        <v>125</v>
      </c>
      <c r="K65" s="2" t="s">
        <v>126</v>
      </c>
      <c r="L65" s="2" t="s">
        <v>5</v>
      </c>
      <c r="M65" s="2">
        <v>158</v>
      </c>
      <c r="N65" s="2">
        <v>19277</v>
      </c>
      <c r="O65" s="10" t="s">
        <v>671</v>
      </c>
      <c r="P65" s="3">
        <v>112</v>
      </c>
      <c r="Q65" s="3">
        <f>Table13[[#This Row],[Indicative carbon footprint /puff (g CO2e) 
Midpoint value7,8]]*Table13[[#This Row],[Number of puffs per 28 days1-4]]</f>
        <v>17696</v>
      </c>
      <c r="R65" s="3">
        <f>13*Table13[[#This Row],[Indicative carbon footprint per 28 days (g CO2e)]]</f>
        <v>230048</v>
      </c>
      <c r="S65" s="3" t="str">
        <f>IF(Table13[[#This Row],[Indicative carbon footprint /puff (g CO2e) 
Midpoint value7,8]]&gt;=35,"High","Low")</f>
        <v>High</v>
      </c>
      <c r="T65" s="3"/>
      <c r="U65" s="1">
        <f>Table13[[#This Row],[Number of puffs per 28 days1-4]]*Table13[[#This Row],[Cost/puff 1,5-7]]</f>
        <v>33.730666666666671</v>
      </c>
      <c r="V65" s="1">
        <f>Table13[[#This Row],[Indicative cost per 28 days1,5]]*13</f>
        <v>438.49866666666674</v>
      </c>
      <c r="W65" s="2" t="s">
        <v>506</v>
      </c>
      <c r="X65" s="1" t="s">
        <v>14</v>
      </c>
      <c r="Y65" s="2" t="s">
        <v>210</v>
      </c>
      <c r="Z65" s="4" t="s">
        <v>134</v>
      </c>
      <c r="AA65" s="2" t="s">
        <v>45</v>
      </c>
      <c r="AD65" s="2" t="s">
        <v>46</v>
      </c>
      <c r="AE65" s="2">
        <v>50</v>
      </c>
      <c r="AF65" s="2">
        <v>65</v>
      </c>
      <c r="AG65" s="2" t="s">
        <v>515</v>
      </c>
      <c r="AH65" s="2" t="s">
        <v>322</v>
      </c>
      <c r="AI65" s="2">
        <v>1926</v>
      </c>
      <c r="AJ65" s="2" t="s">
        <v>516</v>
      </c>
      <c r="AK65" s="2" t="s">
        <v>516</v>
      </c>
      <c r="AL65" s="2">
        <v>30</v>
      </c>
      <c r="AM65" s="2">
        <v>11276</v>
      </c>
      <c r="AN65" s="2">
        <v>5654</v>
      </c>
      <c r="AO65" s="2" t="s">
        <v>63</v>
      </c>
      <c r="AP65" s="2" t="s">
        <v>132</v>
      </c>
      <c r="AQ65" s="2" t="s">
        <v>63</v>
      </c>
      <c r="AR65" s="2" t="s">
        <v>63</v>
      </c>
      <c r="AS65" s="10" t="s">
        <v>312</v>
      </c>
    </row>
    <row r="66" spans="1:45" ht="105" x14ac:dyDescent="0.25">
      <c r="A66" s="2" t="s">
        <v>135</v>
      </c>
      <c r="B66" s="2" t="s">
        <v>41</v>
      </c>
      <c r="C66" s="2" t="s">
        <v>403</v>
      </c>
      <c r="D66" s="2" t="s">
        <v>18</v>
      </c>
      <c r="E66" s="2" t="s">
        <v>36</v>
      </c>
      <c r="F66" s="2" t="s">
        <v>19</v>
      </c>
      <c r="G66" s="2">
        <v>120</v>
      </c>
      <c r="H66" s="1">
        <v>5.44</v>
      </c>
      <c r="I66" s="1">
        <f t="shared" si="2"/>
        <v>4.5333333333333337E-2</v>
      </c>
      <c r="J66" s="2" t="s">
        <v>122</v>
      </c>
      <c r="K66" s="2" t="s">
        <v>123</v>
      </c>
      <c r="L66" s="2" t="s">
        <v>5</v>
      </c>
      <c r="M66" s="2">
        <v>158</v>
      </c>
      <c r="N66" s="2">
        <v>19277</v>
      </c>
      <c r="O66" s="10" t="s">
        <v>671</v>
      </c>
      <c r="P66" s="3">
        <v>112</v>
      </c>
      <c r="Q66" s="3">
        <f>Table13[[#This Row],[Indicative carbon footprint /puff (g CO2e) 
Midpoint value7,8]]*Table13[[#This Row],[Number of puffs per 28 days1-4]]</f>
        <v>17696</v>
      </c>
      <c r="R66" s="3">
        <f>13*Table13[[#This Row],[Indicative carbon footprint per 28 days (g CO2e)]]</f>
        <v>230048</v>
      </c>
      <c r="S66" s="3" t="str">
        <f>IF(Table13[[#This Row],[Indicative carbon footprint /puff (g CO2e) 
Midpoint value7,8]]&gt;=35,"High","Low")</f>
        <v>High</v>
      </c>
      <c r="T66" s="3"/>
      <c r="U66" s="1">
        <f>Table13[[#This Row],[Number of puffs per 28 days1-4]]*Table13[[#This Row],[Cost/puff 1,5-7]]</f>
        <v>5.0773333333333337</v>
      </c>
      <c r="V66" s="1">
        <f>Table13[[#This Row],[Indicative cost per 28 days1,5]]*13</f>
        <v>66.00533333333334</v>
      </c>
      <c r="W66" s="2" t="s">
        <v>506</v>
      </c>
      <c r="X66" s="1" t="s">
        <v>14</v>
      </c>
      <c r="Y66" s="2" t="s">
        <v>210</v>
      </c>
      <c r="Z66" s="4" t="s">
        <v>136</v>
      </c>
      <c r="AA66" s="2" t="s">
        <v>45</v>
      </c>
      <c r="AD66" s="2" t="s">
        <v>46</v>
      </c>
      <c r="AE66" s="2">
        <v>50</v>
      </c>
      <c r="AF66" s="2">
        <v>65</v>
      </c>
      <c r="AG66" s="2" t="s">
        <v>515</v>
      </c>
      <c r="AH66" s="2" t="s">
        <v>322</v>
      </c>
      <c r="AI66" s="2">
        <v>1926</v>
      </c>
      <c r="AJ66" s="2" t="s">
        <v>516</v>
      </c>
      <c r="AK66" s="2" t="s">
        <v>516</v>
      </c>
      <c r="AL66" s="2">
        <v>30</v>
      </c>
      <c r="AM66" s="2">
        <v>11276</v>
      </c>
      <c r="AN66" s="2">
        <v>5654</v>
      </c>
      <c r="AO66" s="2" t="s">
        <v>63</v>
      </c>
      <c r="AP66" s="2" t="s">
        <v>132</v>
      </c>
      <c r="AQ66" s="2" t="s">
        <v>63</v>
      </c>
      <c r="AR66" s="2" t="s">
        <v>63</v>
      </c>
      <c r="AS66" s="10" t="s">
        <v>312</v>
      </c>
    </row>
    <row r="67" spans="1:45" ht="105" x14ac:dyDescent="0.25">
      <c r="A67" s="2" t="s">
        <v>404</v>
      </c>
      <c r="B67" s="2" t="s">
        <v>137</v>
      </c>
      <c r="C67" s="2" t="s">
        <v>405</v>
      </c>
      <c r="D67" s="2" t="s">
        <v>18</v>
      </c>
      <c r="E67" s="2" t="s">
        <v>11</v>
      </c>
      <c r="F67" s="2" t="s">
        <v>19</v>
      </c>
      <c r="G67" s="2">
        <v>120</v>
      </c>
      <c r="H67" s="1">
        <v>28</v>
      </c>
      <c r="I67" s="1">
        <f t="shared" si="2"/>
        <v>0.23333333333333334</v>
      </c>
      <c r="J67" s="2" t="s">
        <v>37</v>
      </c>
      <c r="K67" s="2" t="s">
        <v>138</v>
      </c>
      <c r="L67" s="2" t="s">
        <v>13</v>
      </c>
      <c r="M67" s="2">
        <v>295</v>
      </c>
      <c r="N67" s="2">
        <v>36500</v>
      </c>
      <c r="O67" s="10" t="s">
        <v>669</v>
      </c>
      <c r="P67" s="3">
        <v>112</v>
      </c>
      <c r="Q67" s="3">
        <f>Table13[[#This Row],[Indicative carbon footprint /puff (g CO2e) 
Midpoint value7,8]]*Table13[[#This Row],[Number of puffs per 28 days1-4]]</f>
        <v>33040</v>
      </c>
      <c r="R67" s="16">
        <f>13*Table13[[#This Row],[Indicative carbon footprint per 28 days (g CO2e)]]</f>
        <v>429520</v>
      </c>
      <c r="S67" s="3" t="str">
        <f>IF(Table13[[#This Row],[Indicative carbon footprint /puff (g CO2e) 
Midpoint value7,8]]&gt;=35,"High","Low")</f>
        <v>High</v>
      </c>
      <c r="T67" s="3"/>
      <c r="U67" s="1">
        <f>Table13[[#This Row],[Number of puffs per 28 days1-4]]*Table13[[#This Row],[Cost/puff 1,5-7]]</f>
        <v>26.133333333333333</v>
      </c>
      <c r="V67" s="1">
        <f>Table13[[#This Row],[Indicative cost per 28 days1,5]]*13</f>
        <v>339.73333333333335</v>
      </c>
      <c r="X67" s="1" t="s">
        <v>14</v>
      </c>
      <c r="Y67" s="2" t="s">
        <v>307</v>
      </c>
      <c r="Z67" s="4" t="s">
        <v>139</v>
      </c>
      <c r="AA67" s="9" t="s">
        <v>45</v>
      </c>
      <c r="AB67" s="9"/>
      <c r="AC67" s="9" t="s">
        <v>5</v>
      </c>
      <c r="AD67" s="2" t="s">
        <v>512</v>
      </c>
      <c r="AE67" s="2" t="s">
        <v>140</v>
      </c>
      <c r="AF67" s="2" t="s">
        <v>140</v>
      </c>
      <c r="AG67" s="2" t="s">
        <v>140</v>
      </c>
      <c r="AH67" s="2" t="s">
        <v>141</v>
      </c>
      <c r="AI67" s="2" t="s">
        <v>141</v>
      </c>
      <c r="AJ67" s="33" t="s">
        <v>142</v>
      </c>
      <c r="AK67" s="11" t="s">
        <v>143</v>
      </c>
      <c r="AL67" s="11" t="s">
        <v>143</v>
      </c>
      <c r="AM67" s="11" t="s">
        <v>144</v>
      </c>
      <c r="AN67" s="2" t="s">
        <v>141</v>
      </c>
      <c r="AO67" s="2" t="s">
        <v>141</v>
      </c>
      <c r="AP67" s="2" t="s">
        <v>145</v>
      </c>
      <c r="AQ67" s="2" t="s">
        <v>146</v>
      </c>
      <c r="AR67" s="11" t="s">
        <v>5</v>
      </c>
      <c r="AS67" s="10" t="s">
        <v>314</v>
      </c>
    </row>
    <row r="68" spans="1:45" ht="105" x14ac:dyDescent="0.25">
      <c r="A68" s="2" t="s">
        <v>481</v>
      </c>
      <c r="B68" s="2" t="s">
        <v>137</v>
      </c>
      <c r="C68" s="2" t="s">
        <v>406</v>
      </c>
      <c r="D68" s="2" t="s">
        <v>18</v>
      </c>
      <c r="E68" s="2" t="s">
        <v>11</v>
      </c>
      <c r="F68" s="2" t="s">
        <v>19</v>
      </c>
      <c r="G68" s="2">
        <v>120</v>
      </c>
      <c r="H68" s="1">
        <v>45.56</v>
      </c>
      <c r="I68" s="1">
        <f t="shared" si="2"/>
        <v>0.37966666666666671</v>
      </c>
      <c r="J68" s="2" t="s">
        <v>12</v>
      </c>
      <c r="K68" s="2" t="s">
        <v>12</v>
      </c>
      <c r="L68" s="2" t="s">
        <v>13</v>
      </c>
      <c r="M68" s="2">
        <v>295</v>
      </c>
      <c r="N68" s="2">
        <v>36500</v>
      </c>
      <c r="O68" s="10" t="s">
        <v>669</v>
      </c>
      <c r="P68" s="3">
        <v>112</v>
      </c>
      <c r="Q68" s="3">
        <f>Table13[[#This Row],[Indicative carbon footprint /puff (g CO2e) 
Midpoint value7,8]]*Table13[[#This Row],[Number of puffs per 28 days1-4]]</f>
        <v>33040</v>
      </c>
      <c r="R68" s="16">
        <f>13*Table13[[#This Row],[Indicative carbon footprint per 28 days (g CO2e)]]</f>
        <v>429520</v>
      </c>
      <c r="S68" s="3" t="str">
        <f>IF(Table13[[#This Row],[Indicative carbon footprint /puff (g CO2e) 
Midpoint value7,8]]&gt;=35,"High","Low")</f>
        <v>High</v>
      </c>
      <c r="T68" s="3"/>
      <c r="U68" s="1">
        <f>Table13[[#This Row],[Number of puffs per 28 days1-4]]*Table13[[#This Row],[Cost/puff 1,5-7]]</f>
        <v>42.522666666666673</v>
      </c>
      <c r="V68" s="1">
        <f>Table13[[#This Row],[Indicative cost per 28 days1,5]]*13</f>
        <v>552.79466666666679</v>
      </c>
      <c r="X68" s="1" t="s">
        <v>14</v>
      </c>
      <c r="Y68" s="2" t="s">
        <v>307</v>
      </c>
      <c r="Z68" s="4" t="s">
        <v>147</v>
      </c>
      <c r="AA68" s="9" t="s">
        <v>45</v>
      </c>
      <c r="AB68" s="9"/>
      <c r="AC68" s="9" t="s">
        <v>5</v>
      </c>
      <c r="AD68" s="2" t="s">
        <v>512</v>
      </c>
      <c r="AE68" s="2" t="s">
        <v>140</v>
      </c>
      <c r="AF68" s="2" t="s">
        <v>140</v>
      </c>
      <c r="AG68" s="2" t="s">
        <v>140</v>
      </c>
      <c r="AH68" s="2" t="s">
        <v>141</v>
      </c>
      <c r="AI68" s="2" t="s">
        <v>141</v>
      </c>
      <c r="AJ68" s="33" t="s">
        <v>142</v>
      </c>
      <c r="AK68" s="11" t="s">
        <v>143</v>
      </c>
      <c r="AL68" s="11" t="s">
        <v>143</v>
      </c>
      <c r="AM68" s="11" t="s">
        <v>144</v>
      </c>
      <c r="AN68" s="2" t="s">
        <v>141</v>
      </c>
      <c r="AO68" s="2" t="s">
        <v>141</v>
      </c>
      <c r="AP68" s="2" t="s">
        <v>145</v>
      </c>
      <c r="AQ68" s="2" t="s">
        <v>146</v>
      </c>
      <c r="AR68" s="11" t="s">
        <v>5</v>
      </c>
      <c r="AS68" s="10" t="s">
        <v>314</v>
      </c>
    </row>
    <row r="69" spans="1:45" ht="105" x14ac:dyDescent="0.25">
      <c r="A69" s="2" t="s">
        <v>407</v>
      </c>
      <c r="B69" s="2" t="s">
        <v>137</v>
      </c>
      <c r="C69" s="2" t="s">
        <v>408</v>
      </c>
      <c r="D69" s="2" t="s">
        <v>18</v>
      </c>
      <c r="E69" s="2" t="s">
        <v>11</v>
      </c>
      <c r="F69" s="2" t="s">
        <v>19</v>
      </c>
      <c r="G69" s="2">
        <v>120</v>
      </c>
      <c r="H69" s="1">
        <v>14.4</v>
      </c>
      <c r="I69" s="1">
        <f t="shared" si="2"/>
        <v>0.12000000000000001</v>
      </c>
      <c r="J69" s="2" t="s">
        <v>122</v>
      </c>
      <c r="K69" s="2" t="s">
        <v>148</v>
      </c>
      <c r="L69" s="2" t="s">
        <v>13</v>
      </c>
      <c r="M69" s="2">
        <v>295</v>
      </c>
      <c r="N69" s="2">
        <v>36500</v>
      </c>
      <c r="O69" s="10" t="s">
        <v>669</v>
      </c>
      <c r="P69" s="3">
        <v>112</v>
      </c>
      <c r="Q69" s="3">
        <f>Table13[[#This Row],[Indicative carbon footprint /puff (g CO2e) 
Midpoint value7,8]]*Table13[[#This Row],[Number of puffs per 28 days1-4]]</f>
        <v>33040</v>
      </c>
      <c r="R69" s="16">
        <f>13*Table13[[#This Row],[Indicative carbon footprint per 28 days (g CO2e)]]</f>
        <v>429520</v>
      </c>
      <c r="S69" s="3" t="str">
        <f>IF(Table13[[#This Row],[Indicative carbon footprint /puff (g CO2e) 
Midpoint value7,8]]&gt;=35,"High","Low")</f>
        <v>High</v>
      </c>
      <c r="T69" s="3"/>
      <c r="U69" s="1">
        <f>Table13[[#This Row],[Number of puffs per 28 days1-4]]*Table13[[#This Row],[Cost/puff 1,5-7]]</f>
        <v>13.440000000000001</v>
      </c>
      <c r="V69" s="1">
        <f>Table13[[#This Row],[Indicative cost per 28 days1,5]]*13</f>
        <v>174.72000000000003</v>
      </c>
      <c r="X69" s="1" t="s">
        <v>14</v>
      </c>
      <c r="Y69" s="2" t="s">
        <v>307</v>
      </c>
      <c r="Z69" s="4" t="s">
        <v>149</v>
      </c>
      <c r="AA69" s="9" t="s">
        <v>45</v>
      </c>
      <c r="AB69" s="9"/>
      <c r="AC69" s="9" t="s">
        <v>5</v>
      </c>
      <c r="AD69" s="2" t="s">
        <v>512</v>
      </c>
      <c r="AE69" s="2" t="s">
        <v>140</v>
      </c>
      <c r="AF69" s="2" t="s">
        <v>140</v>
      </c>
      <c r="AG69" s="2" t="s">
        <v>140</v>
      </c>
      <c r="AH69" s="2" t="s">
        <v>141</v>
      </c>
      <c r="AI69" s="2" t="s">
        <v>141</v>
      </c>
      <c r="AJ69" s="33" t="s">
        <v>142</v>
      </c>
      <c r="AK69" s="11" t="s">
        <v>143</v>
      </c>
      <c r="AL69" s="11" t="s">
        <v>143</v>
      </c>
      <c r="AM69" s="11" t="s">
        <v>144</v>
      </c>
      <c r="AN69" s="2" t="s">
        <v>141</v>
      </c>
      <c r="AO69" s="2" t="s">
        <v>141</v>
      </c>
      <c r="AP69" s="2" t="s">
        <v>145</v>
      </c>
      <c r="AQ69" s="2" t="s">
        <v>146</v>
      </c>
      <c r="AR69" s="11" t="s">
        <v>5</v>
      </c>
      <c r="AS69" s="10" t="s">
        <v>314</v>
      </c>
    </row>
    <row r="70" spans="1:45" ht="90" x14ac:dyDescent="0.25">
      <c r="A70" s="2" t="s">
        <v>409</v>
      </c>
      <c r="B70" s="2" t="s">
        <v>102</v>
      </c>
      <c r="C70" s="2" t="s">
        <v>410</v>
      </c>
      <c r="D70" s="2" t="s">
        <v>10</v>
      </c>
      <c r="E70" s="2" t="s">
        <v>11</v>
      </c>
      <c r="F70" s="2" t="s">
        <v>6</v>
      </c>
      <c r="G70" s="2">
        <v>60</v>
      </c>
      <c r="H70" s="1">
        <v>10.75</v>
      </c>
      <c r="I70" s="1">
        <f t="shared" si="2"/>
        <v>0.17916666666666667</v>
      </c>
      <c r="J70" s="2" t="s">
        <v>12</v>
      </c>
      <c r="K70" s="2" t="s">
        <v>12</v>
      </c>
      <c r="L70" s="2" t="s">
        <v>99</v>
      </c>
      <c r="M70" s="2">
        <v>4.04</v>
      </c>
      <c r="N70" s="2">
        <v>484.47</v>
      </c>
      <c r="O70" s="10" t="s">
        <v>671</v>
      </c>
      <c r="P70" s="3">
        <v>56</v>
      </c>
      <c r="Q70" s="3">
        <f>Table13[[#This Row],[Indicative carbon footprint /puff (g CO2e) 
Midpoint value7,8]]*Table13[[#This Row],[Number of puffs per 28 days1-4]]</f>
        <v>226.24</v>
      </c>
      <c r="R70" s="3">
        <f>13*Table13[[#This Row],[Indicative carbon footprint per 28 days (g CO2e)]]</f>
        <v>2941.12</v>
      </c>
      <c r="S70" s="3" t="str">
        <f>IF(Table13[[#This Row],[Indicative carbon footprint /puff (g CO2e) 
Midpoint value7,8]]&gt;=35,"High","Low")</f>
        <v>Low</v>
      </c>
      <c r="T70" s="3" t="s">
        <v>734</v>
      </c>
      <c r="U70" s="1">
        <f>Table13[[#This Row],[Number of puffs per 28 days1-4]]*Table13[[#This Row],[Cost/puff 1,5-7]]</f>
        <v>10.033333333333333</v>
      </c>
      <c r="V70" s="1">
        <f>Table13[[#This Row],[Indicative cost per 28 days1,5]]*13</f>
        <v>130.43333333333334</v>
      </c>
      <c r="W70" s="2" t="s">
        <v>508</v>
      </c>
      <c r="X70" s="1" t="s">
        <v>14</v>
      </c>
      <c r="Y70" s="2" t="s">
        <v>5</v>
      </c>
      <c r="Z70" s="4" t="s">
        <v>151</v>
      </c>
      <c r="AB70" s="2" t="s">
        <v>17</v>
      </c>
      <c r="AD70" s="2" t="s">
        <v>105</v>
      </c>
      <c r="AE70" s="11">
        <v>165.24</v>
      </c>
      <c r="AF70" s="11">
        <v>244.55</v>
      </c>
      <c r="AG70" s="2" t="s">
        <v>328</v>
      </c>
      <c r="AH70" s="11">
        <v>11.12</v>
      </c>
      <c r="AI70" s="2" t="s">
        <v>5</v>
      </c>
      <c r="AJ70" s="11" t="s">
        <v>5</v>
      </c>
      <c r="AK70" s="11" t="s">
        <v>5</v>
      </c>
      <c r="AL70" s="11">
        <v>8.0299999999999994</v>
      </c>
      <c r="AM70" s="11">
        <v>0</v>
      </c>
      <c r="AN70" s="11">
        <v>55.52</v>
      </c>
      <c r="AO70" s="2" t="s">
        <v>63</v>
      </c>
      <c r="AP70" s="11" t="s">
        <v>5</v>
      </c>
      <c r="AQ70" s="11" t="s">
        <v>5</v>
      </c>
      <c r="AR70" s="11" t="s">
        <v>736</v>
      </c>
      <c r="AS70" s="2" t="s">
        <v>310</v>
      </c>
    </row>
    <row r="71" spans="1:45" ht="90" x14ac:dyDescent="0.25">
      <c r="A71" s="2" t="s">
        <v>409</v>
      </c>
      <c r="B71" s="2" t="s">
        <v>102</v>
      </c>
      <c r="C71" s="2" t="s">
        <v>410</v>
      </c>
      <c r="D71" s="2" t="s">
        <v>10</v>
      </c>
      <c r="E71" s="2" t="s">
        <v>11</v>
      </c>
      <c r="F71" s="2" t="s">
        <v>6</v>
      </c>
      <c r="G71" s="2">
        <v>120</v>
      </c>
      <c r="H71" s="1">
        <v>21.5</v>
      </c>
      <c r="I71" s="1">
        <f t="shared" si="2"/>
        <v>0.17916666666666667</v>
      </c>
      <c r="J71" s="2" t="s">
        <v>12</v>
      </c>
      <c r="K71" s="2" t="s">
        <v>12</v>
      </c>
      <c r="L71" s="2" t="s">
        <v>99</v>
      </c>
      <c r="M71" s="2">
        <v>4.04</v>
      </c>
      <c r="N71" s="2">
        <v>484.47</v>
      </c>
      <c r="O71" s="10" t="s">
        <v>671</v>
      </c>
      <c r="P71" s="3">
        <v>112</v>
      </c>
      <c r="Q71" s="3">
        <f>Table13[[#This Row],[Indicative carbon footprint /puff (g CO2e) 
Midpoint value7,8]]*Table13[[#This Row],[Number of puffs per 28 days1-4]]</f>
        <v>452.48</v>
      </c>
      <c r="R71" s="3">
        <f>13*Table13[[#This Row],[Indicative carbon footprint per 28 days (g CO2e)]]</f>
        <v>5882.24</v>
      </c>
      <c r="S71" s="3" t="str">
        <f>IF(Table13[[#This Row],[Indicative carbon footprint /puff (g CO2e) 
Midpoint value7,8]]&gt;=35,"High","Low")</f>
        <v>Low</v>
      </c>
      <c r="T71" s="3" t="s">
        <v>734</v>
      </c>
      <c r="U71" s="1">
        <f>Table13[[#This Row],[Number of puffs per 28 days1-4]]*Table13[[#This Row],[Cost/puff 1,5-7]]</f>
        <v>20.066666666666666</v>
      </c>
      <c r="V71" s="1">
        <f>Table13[[#This Row],[Indicative cost per 28 days1,5]]*13</f>
        <v>260.86666666666667</v>
      </c>
      <c r="W71" s="2" t="s">
        <v>508</v>
      </c>
      <c r="X71" s="1" t="s">
        <v>14</v>
      </c>
      <c r="Y71" s="2" t="s">
        <v>5</v>
      </c>
      <c r="Z71" s="4" t="s">
        <v>152</v>
      </c>
      <c r="AA71" s="9" t="s">
        <v>45</v>
      </c>
      <c r="AB71" s="2" t="s">
        <v>17</v>
      </c>
      <c r="AC71" s="9" t="s">
        <v>5</v>
      </c>
      <c r="AD71" s="2" t="s">
        <v>105</v>
      </c>
      <c r="AE71" s="11">
        <v>165.24</v>
      </c>
      <c r="AF71" s="11">
        <v>244.55</v>
      </c>
      <c r="AG71" s="2" t="s">
        <v>328</v>
      </c>
      <c r="AH71" s="11">
        <v>11.12</v>
      </c>
      <c r="AI71" s="2" t="s">
        <v>5</v>
      </c>
      <c r="AJ71" s="11" t="s">
        <v>5</v>
      </c>
      <c r="AK71" s="11" t="s">
        <v>5</v>
      </c>
      <c r="AL71" s="11">
        <v>8.0299999999999994</v>
      </c>
      <c r="AM71" s="11">
        <v>0</v>
      </c>
      <c r="AN71" s="11">
        <v>55.52</v>
      </c>
      <c r="AO71" s="2" t="s">
        <v>63</v>
      </c>
      <c r="AP71" s="11" t="s">
        <v>5</v>
      </c>
      <c r="AQ71" s="11" t="s">
        <v>5</v>
      </c>
      <c r="AR71" s="11" t="s">
        <v>736</v>
      </c>
      <c r="AS71" s="2" t="s">
        <v>310</v>
      </c>
    </row>
    <row r="72" spans="1:45" ht="90" x14ac:dyDescent="0.25">
      <c r="A72" s="2" t="s">
        <v>411</v>
      </c>
      <c r="B72" s="2" t="s">
        <v>102</v>
      </c>
      <c r="C72" s="2" t="s">
        <v>412</v>
      </c>
      <c r="D72" s="2" t="s">
        <v>10</v>
      </c>
      <c r="E72" s="2" t="s">
        <v>11</v>
      </c>
      <c r="F72" s="2" t="s">
        <v>6</v>
      </c>
      <c r="G72" s="2">
        <v>60</v>
      </c>
      <c r="H72" s="1">
        <v>21.5</v>
      </c>
      <c r="I72" s="1">
        <f t="shared" si="2"/>
        <v>0.35833333333333334</v>
      </c>
      <c r="J72" s="2" t="s">
        <v>12</v>
      </c>
      <c r="K72" s="2" t="s">
        <v>12</v>
      </c>
      <c r="L72" s="2" t="s">
        <v>13</v>
      </c>
      <c r="M72" s="2">
        <v>4.04</v>
      </c>
      <c r="N72" s="2">
        <v>484.47</v>
      </c>
      <c r="O72" s="10" t="s">
        <v>671</v>
      </c>
      <c r="P72" s="3">
        <v>56</v>
      </c>
      <c r="Q72" s="3">
        <f>Table13[[#This Row],[Indicative carbon footprint /puff (g CO2e) 
Midpoint value7,8]]*Table13[[#This Row],[Number of puffs per 28 days1-4]]</f>
        <v>226.24</v>
      </c>
      <c r="R72" s="3">
        <f>13*Table13[[#This Row],[Indicative carbon footprint per 28 days (g CO2e)]]</f>
        <v>2941.12</v>
      </c>
      <c r="S72" s="3" t="str">
        <f>IF(Table13[[#This Row],[Indicative carbon footprint /puff (g CO2e) 
Midpoint value7,8]]&gt;=35,"High","Low")</f>
        <v>Low</v>
      </c>
      <c r="T72" s="3" t="s">
        <v>734</v>
      </c>
      <c r="U72" s="1">
        <f>Table13[[#This Row],[Number of puffs per 28 days1-4]]*Table13[[#This Row],[Cost/puff 1,5-7]]</f>
        <v>20.066666666666666</v>
      </c>
      <c r="V72" s="1">
        <f>Table13[[#This Row],[Indicative cost per 28 days1,5]]*13</f>
        <v>260.86666666666667</v>
      </c>
      <c r="W72" s="2" t="s">
        <v>509</v>
      </c>
      <c r="X72" s="1" t="s">
        <v>14</v>
      </c>
      <c r="Y72" s="2" t="s">
        <v>5</v>
      </c>
      <c r="Z72" s="4" t="s">
        <v>153</v>
      </c>
      <c r="AB72" s="2" t="s">
        <v>17</v>
      </c>
      <c r="AD72" s="2" t="s">
        <v>105</v>
      </c>
      <c r="AE72" s="11">
        <v>165.24</v>
      </c>
      <c r="AF72" s="11">
        <v>244.55</v>
      </c>
      <c r="AG72" s="2" t="s">
        <v>328</v>
      </c>
      <c r="AH72" s="11">
        <v>11.12</v>
      </c>
      <c r="AI72" s="2" t="s">
        <v>5</v>
      </c>
      <c r="AJ72" s="11" t="s">
        <v>5</v>
      </c>
      <c r="AK72" s="11" t="s">
        <v>5</v>
      </c>
      <c r="AL72" s="11">
        <v>8.0299999999999994</v>
      </c>
      <c r="AM72" s="11">
        <v>0</v>
      </c>
      <c r="AN72" s="11">
        <v>55.52</v>
      </c>
      <c r="AO72" s="2" t="s">
        <v>63</v>
      </c>
      <c r="AP72" s="11" t="s">
        <v>5</v>
      </c>
      <c r="AQ72" s="11" t="s">
        <v>5</v>
      </c>
      <c r="AR72" s="11" t="s">
        <v>736</v>
      </c>
      <c r="AS72" s="2" t="s">
        <v>310</v>
      </c>
    </row>
    <row r="73" spans="1:45" ht="90" x14ac:dyDescent="0.25">
      <c r="A73" s="2" t="s">
        <v>413</v>
      </c>
      <c r="B73" s="2" t="s">
        <v>102</v>
      </c>
      <c r="C73" s="2" t="s">
        <v>414</v>
      </c>
      <c r="D73" s="2" t="s">
        <v>18</v>
      </c>
      <c r="E73" s="2" t="s">
        <v>11</v>
      </c>
      <c r="F73" s="2" t="s">
        <v>6</v>
      </c>
      <c r="G73" s="2">
        <v>120</v>
      </c>
      <c r="H73" s="1">
        <v>21.5</v>
      </c>
      <c r="I73" s="1">
        <f t="shared" si="2"/>
        <v>0.17916666666666667</v>
      </c>
      <c r="J73" s="2" t="s">
        <v>12</v>
      </c>
      <c r="K73" s="2" t="s">
        <v>12</v>
      </c>
      <c r="L73" s="2" t="s">
        <v>99</v>
      </c>
      <c r="M73" s="2">
        <v>4.04</v>
      </c>
      <c r="N73" s="2">
        <v>484.47</v>
      </c>
      <c r="O73" s="10" t="s">
        <v>671</v>
      </c>
      <c r="P73" s="3">
        <v>112</v>
      </c>
      <c r="Q73" s="3">
        <f>Table13[[#This Row],[Indicative carbon footprint /puff (g CO2e) 
Midpoint value7,8]]*Table13[[#This Row],[Number of puffs per 28 days1-4]]</f>
        <v>452.48</v>
      </c>
      <c r="R73" s="3">
        <f>13*Table13[[#This Row],[Indicative carbon footprint per 28 days (g CO2e)]]</f>
        <v>5882.24</v>
      </c>
      <c r="S73" s="3" t="str">
        <f>IF(Table13[[#This Row],[Indicative carbon footprint /puff (g CO2e) 
Midpoint value7,8]]&gt;=35,"High","Low")</f>
        <v>Low</v>
      </c>
      <c r="T73" s="3" t="s">
        <v>734</v>
      </c>
      <c r="U73" s="1">
        <f>Table13[[#This Row],[Number of puffs per 28 days1-4]]*Table13[[#This Row],[Cost/puff 1,5-7]]</f>
        <v>20.066666666666666</v>
      </c>
      <c r="V73" s="1">
        <f>Table13[[#This Row],[Indicative cost per 28 days1,5]]*13</f>
        <v>260.86666666666667</v>
      </c>
      <c r="W73" s="2" t="s">
        <v>510</v>
      </c>
      <c r="X73" s="1" t="s">
        <v>14</v>
      </c>
      <c r="Y73" s="2" t="s">
        <v>5</v>
      </c>
      <c r="Z73" s="4" t="s">
        <v>154</v>
      </c>
      <c r="AB73" s="2" t="s">
        <v>17</v>
      </c>
      <c r="AD73" s="2" t="s">
        <v>105</v>
      </c>
      <c r="AE73" s="11">
        <v>165.24</v>
      </c>
      <c r="AF73" s="11">
        <v>244.55</v>
      </c>
      <c r="AG73" s="2" t="s">
        <v>328</v>
      </c>
      <c r="AH73" s="11">
        <v>11.12</v>
      </c>
      <c r="AI73" s="2" t="s">
        <v>5</v>
      </c>
      <c r="AJ73" s="11" t="s">
        <v>5</v>
      </c>
      <c r="AK73" s="11" t="s">
        <v>5</v>
      </c>
      <c r="AL73" s="11">
        <v>8.0299999999999994</v>
      </c>
      <c r="AM73" s="11">
        <v>0</v>
      </c>
      <c r="AN73" s="11">
        <v>55.52</v>
      </c>
      <c r="AO73" s="2" t="s">
        <v>63</v>
      </c>
      <c r="AP73" s="11" t="s">
        <v>5</v>
      </c>
      <c r="AQ73" s="11" t="s">
        <v>5</v>
      </c>
      <c r="AR73" s="11" t="s">
        <v>736</v>
      </c>
      <c r="AS73" s="2" t="s">
        <v>310</v>
      </c>
    </row>
    <row r="74" spans="1:45" ht="45" x14ac:dyDescent="0.25">
      <c r="A74" s="2" t="s">
        <v>415</v>
      </c>
      <c r="B74" s="2" t="s">
        <v>155</v>
      </c>
      <c r="C74" s="2" t="s">
        <v>416</v>
      </c>
      <c r="D74" s="2" t="s">
        <v>10</v>
      </c>
      <c r="E74" s="2" t="s">
        <v>61</v>
      </c>
      <c r="F74" s="2" t="s">
        <v>6</v>
      </c>
      <c r="G74" s="2">
        <v>60</v>
      </c>
      <c r="H74" s="1">
        <v>28.06</v>
      </c>
      <c r="I74" s="1">
        <f t="shared" si="2"/>
        <v>0.46766666666666662</v>
      </c>
      <c r="J74" s="2" t="s">
        <v>76</v>
      </c>
      <c r="K74" s="2" t="s">
        <v>77</v>
      </c>
      <c r="L74" s="2" t="s">
        <v>5</v>
      </c>
      <c r="M74" s="2">
        <v>18.75</v>
      </c>
      <c r="N74" s="2">
        <f>Table13[[#This Row],[Doses per inhaler1,2]]*Table13[[#This Row],[Indicative carbon footprint /puff (g CO2e) 
Midpoint value7,8]]</f>
        <v>1125</v>
      </c>
      <c r="O74" s="10" t="s">
        <v>63</v>
      </c>
      <c r="P74" s="3">
        <v>56</v>
      </c>
      <c r="Q74" s="3">
        <f>Table13[[#This Row],[Indicative carbon footprint /puff (g CO2e) 
Midpoint value7,8]]*Table13[[#This Row],[Number of puffs per 28 days1-4]]</f>
        <v>1050</v>
      </c>
      <c r="R74" s="26">
        <f>13*Table13[[#This Row],[Indicative carbon footprint per 28 days (g CO2e)]]</f>
        <v>13650</v>
      </c>
      <c r="S74" s="3" t="str">
        <f>IF(Table13[[#This Row],[Indicative carbon footprint /puff (g CO2e) 
Midpoint value7,8]]&gt;=35,"High","Low")</f>
        <v>Low</v>
      </c>
      <c r="T74" s="3"/>
      <c r="U74" s="1">
        <f>Table13[[#This Row],[Number of puffs per 28 days1-4]]*Table13[[#This Row],[Cost/puff 1,5-7]]</f>
        <v>26.18933333333333</v>
      </c>
      <c r="V74" s="1">
        <f>Table13[[#This Row],[Indicative cost per 28 days1,5]]*13</f>
        <v>340.4613333333333</v>
      </c>
      <c r="W74" s="2" t="s">
        <v>156</v>
      </c>
      <c r="X74" s="1" t="s">
        <v>7</v>
      </c>
      <c r="Y74" s="2" t="s">
        <v>5</v>
      </c>
      <c r="Z74" s="4" t="s">
        <v>157</v>
      </c>
      <c r="AB74" s="2" t="s">
        <v>17</v>
      </c>
      <c r="AD74" s="2" t="s">
        <v>63</v>
      </c>
      <c r="AE74" s="2" t="s">
        <v>63</v>
      </c>
      <c r="AF74" s="2" t="s">
        <v>63</v>
      </c>
      <c r="AG74" s="2" t="s">
        <v>63</v>
      </c>
      <c r="AH74" s="2" t="s">
        <v>63</v>
      </c>
      <c r="AI74" s="2" t="s">
        <v>63</v>
      </c>
      <c r="AJ74" s="2" t="s">
        <v>63</v>
      </c>
      <c r="AK74" s="2" t="s">
        <v>63</v>
      </c>
      <c r="AL74" s="2" t="s">
        <v>63</v>
      </c>
      <c r="AM74" s="2" t="s">
        <v>63</v>
      </c>
      <c r="AN74" s="2" t="s">
        <v>63</v>
      </c>
      <c r="AO74" s="2" t="s">
        <v>63</v>
      </c>
      <c r="AP74" s="2" t="s">
        <v>63</v>
      </c>
      <c r="AQ74" s="2" t="s">
        <v>63</v>
      </c>
      <c r="AR74" s="2" t="s">
        <v>63</v>
      </c>
      <c r="AS74" s="2" t="s">
        <v>310</v>
      </c>
    </row>
    <row r="75" spans="1:45" ht="120" x14ac:dyDescent="0.2">
      <c r="A75" s="2" t="s">
        <v>417</v>
      </c>
      <c r="B75" s="2" t="s">
        <v>60</v>
      </c>
      <c r="C75" s="2" t="s">
        <v>418</v>
      </c>
      <c r="D75" s="2" t="s">
        <v>10</v>
      </c>
      <c r="E75" s="2" t="s">
        <v>11</v>
      </c>
      <c r="F75" s="2" t="s">
        <v>19</v>
      </c>
      <c r="G75" s="2">
        <v>120</v>
      </c>
      <c r="H75" s="1">
        <v>29.32</v>
      </c>
      <c r="I75" s="1">
        <f t="shared" si="2"/>
        <v>0.24433333333333335</v>
      </c>
      <c r="J75" s="2" t="s">
        <v>12</v>
      </c>
      <c r="K75" s="2" t="s">
        <v>12</v>
      </c>
      <c r="L75" s="2" t="s">
        <v>99</v>
      </c>
      <c r="M75" s="2">
        <v>93.74</v>
      </c>
      <c r="N75" s="2">
        <f>Table13[[#This Row],[Doses per inhaler1,2]]*Table13[[#This Row],[Indicative carbon footprint /puff (g CO2e) 
Midpoint value7,8]]</f>
        <v>11248.8</v>
      </c>
      <c r="O75" s="10" t="s">
        <v>671</v>
      </c>
      <c r="P75" s="3">
        <v>112</v>
      </c>
      <c r="Q75" s="3">
        <f>Table13[[#This Row],[Indicative carbon footprint /puff (g CO2e) 
Midpoint value7,8]]*Table13[[#This Row],[Number of puffs per 28 days1-4]]</f>
        <v>10498.88</v>
      </c>
      <c r="R75" s="3">
        <f>13*Table13[[#This Row],[Indicative carbon footprint per 28 days (g CO2e)]]</f>
        <v>136485.44</v>
      </c>
      <c r="S75" s="3" t="str">
        <f>IF(Table13[[#This Row],[Indicative carbon footprint /puff (g CO2e) 
Midpoint value7,8]]&gt;=35,"High","Low")</f>
        <v>High</v>
      </c>
      <c r="T75" s="3" t="s">
        <v>734</v>
      </c>
      <c r="U75" s="1">
        <f>Table13[[#This Row],[Number of puffs per 28 days1-4]]*Table13[[#This Row],[Cost/puff 1,5-7]]</f>
        <v>27.365333333333336</v>
      </c>
      <c r="V75" s="1">
        <f>Table13[[#This Row],[Indicative cost per 28 days1,5]]*13</f>
        <v>355.74933333333337</v>
      </c>
      <c r="W75" s="2" t="s">
        <v>511</v>
      </c>
      <c r="X75" s="1" t="s">
        <v>14</v>
      </c>
      <c r="Y75" s="2" t="s">
        <v>210</v>
      </c>
      <c r="Z75" s="4" t="s">
        <v>158</v>
      </c>
      <c r="AA75" s="2" t="s">
        <v>16</v>
      </c>
      <c r="AD75" s="2" t="s">
        <v>85</v>
      </c>
      <c r="AE75" s="2">
        <f>1.29*Table13[[#This Row],[Doses per inhaler1,2]]</f>
        <v>154.80000000000001</v>
      </c>
      <c r="AF75" s="2">
        <f>0.81*Table13[[#This Row],[Doses per inhaler1,2]]</f>
        <v>97.2</v>
      </c>
      <c r="AG75" s="2">
        <f>1.08*Table13[[#This Row],[Doses per inhaler1,2]]</f>
        <v>129.60000000000002</v>
      </c>
      <c r="AH75" s="2">
        <f>0.1*Table13[[#This Row],[Doses per inhaler1,2]]</f>
        <v>12</v>
      </c>
      <c r="AI75" s="2">
        <f>1.36*Table13[[#This Row],[Doses per inhaler1,2]]</f>
        <v>163.20000000000002</v>
      </c>
      <c r="AJ75" s="2">
        <f>0.01*Table13[[#This Row],[Doses per inhaler1,2]]</f>
        <v>1.2</v>
      </c>
      <c r="AK75" s="2">
        <f>1.44*Table13[[#This Row],[Doses per inhaler1,2]]</f>
        <v>172.79999999999998</v>
      </c>
      <c r="AL75" s="2">
        <f>0.33*Table13[[#This Row],[Doses per inhaler1,2]]</f>
        <v>39.6</v>
      </c>
      <c r="AM75" s="2">
        <f>66.27*Table13[[#This Row],[Doses per inhaler1,2]]</f>
        <v>7952.4</v>
      </c>
      <c r="AN75" s="2">
        <f>21.04*Table13[[#This Row],[Doses per inhaler1,2]]</f>
        <v>2524.7999999999997</v>
      </c>
      <c r="AO75" s="2" t="s">
        <v>63</v>
      </c>
      <c r="AP75" s="2" t="s">
        <v>16</v>
      </c>
      <c r="AQ75" s="48" t="s">
        <v>923</v>
      </c>
      <c r="AR75" s="2" t="s">
        <v>63</v>
      </c>
      <c r="AS75" s="2" t="s">
        <v>311</v>
      </c>
    </row>
    <row r="76" spans="1:45" ht="120" x14ac:dyDescent="0.2">
      <c r="A76" s="2" t="s">
        <v>419</v>
      </c>
      <c r="B76" s="2" t="s">
        <v>60</v>
      </c>
      <c r="C76" s="2" t="s">
        <v>420</v>
      </c>
      <c r="D76" s="2" t="s">
        <v>18</v>
      </c>
      <c r="E76" s="2" t="s">
        <v>11</v>
      </c>
      <c r="F76" s="2" t="s">
        <v>19</v>
      </c>
      <c r="G76" s="2">
        <v>120</v>
      </c>
      <c r="H76" s="1">
        <v>29.32</v>
      </c>
      <c r="I76" s="1">
        <f t="shared" si="2"/>
        <v>0.24433333333333335</v>
      </c>
      <c r="J76" s="2" t="s">
        <v>12</v>
      </c>
      <c r="K76" s="2" t="s">
        <v>12</v>
      </c>
      <c r="L76" s="2" t="s">
        <v>13</v>
      </c>
      <c r="M76" s="2">
        <v>117.94</v>
      </c>
      <c r="N76" s="2">
        <f>Table13[[#This Row],[Doses per inhaler1,2]]*Table13[[#This Row],[Indicative carbon footprint /puff (g CO2e) 
Midpoint value7,8]]</f>
        <v>14152.8</v>
      </c>
      <c r="O76" s="10" t="s">
        <v>671</v>
      </c>
      <c r="P76" s="3">
        <v>112</v>
      </c>
      <c r="Q76" s="3">
        <f>Table13[[#This Row],[Indicative carbon footprint /puff (g CO2e) 
Midpoint value7,8]]*Table13[[#This Row],[Number of puffs per 28 days1-4]]</f>
        <v>13209.279999999999</v>
      </c>
      <c r="R76" s="3">
        <f>13*Table13[[#This Row],[Indicative carbon footprint per 28 days (g CO2e)]]</f>
        <v>171720.63999999998</v>
      </c>
      <c r="S76" s="3" t="str">
        <f>IF(Table13[[#This Row],[Indicative carbon footprint /puff (g CO2e) 
Midpoint value7,8]]&gt;=35,"High","Low")</f>
        <v>High</v>
      </c>
      <c r="T76" s="3" t="s">
        <v>734</v>
      </c>
      <c r="U76" s="1">
        <f>Table13[[#This Row],[Number of puffs per 28 days1-4]]*Table13[[#This Row],[Cost/puff 1,5-7]]</f>
        <v>27.365333333333336</v>
      </c>
      <c r="V76" s="1">
        <f>Table13[[#This Row],[Indicative cost per 28 days1,5]]*13</f>
        <v>355.74933333333337</v>
      </c>
      <c r="W76" s="2" t="s">
        <v>511</v>
      </c>
      <c r="X76" s="1" t="s">
        <v>14</v>
      </c>
      <c r="Y76" s="2" t="s">
        <v>210</v>
      </c>
      <c r="Z76" s="4" t="s">
        <v>159</v>
      </c>
      <c r="AA76" s="2" t="s">
        <v>16</v>
      </c>
      <c r="AD76" s="2" t="s">
        <v>85</v>
      </c>
      <c r="AE76" s="11">
        <f>1.65*Table13[[#This Row],[Doses per inhaler1,2]]</f>
        <v>198</v>
      </c>
      <c r="AF76" s="11">
        <f>0.81*Table13[[#This Row],[Doses per inhaler1,2]]</f>
        <v>97.2</v>
      </c>
      <c r="AG76" s="2">
        <f>1.08*Table13[[#This Row],[Doses per inhaler1,2]]</f>
        <v>129.60000000000002</v>
      </c>
      <c r="AH76" s="11">
        <f>0.11*Table13[[#This Row],[Doses per inhaler1,2]]</f>
        <v>13.2</v>
      </c>
      <c r="AI76" s="2">
        <f>1.36*Table13[[#This Row],[Doses per inhaler1,2]]</f>
        <v>163.20000000000002</v>
      </c>
      <c r="AJ76" s="11">
        <f>0.01*Table13[[#This Row],[Doses per inhaler1,2]]</f>
        <v>1.2</v>
      </c>
      <c r="AK76" s="11">
        <f>1.63*Table13[[#This Row],[Doses per inhaler1,2]]</f>
        <v>195.6</v>
      </c>
      <c r="AL76" s="11">
        <f>0.34*Table13[[#This Row],[Doses per inhaler1,2]]</f>
        <v>40.800000000000004</v>
      </c>
      <c r="AM76" s="11">
        <f>84.22*Table13[[#This Row],[Doses per inhaler1,2]]</f>
        <v>10106.4</v>
      </c>
      <c r="AN76" s="11">
        <f>26.72*Table13[[#This Row],[Doses per inhaler1,2]]</f>
        <v>3206.3999999999996</v>
      </c>
      <c r="AO76" s="2" t="s">
        <v>63</v>
      </c>
      <c r="AP76" s="2" t="s">
        <v>16</v>
      </c>
      <c r="AQ76" s="48" t="s">
        <v>923</v>
      </c>
      <c r="AR76" s="2" t="s">
        <v>63</v>
      </c>
      <c r="AS76" s="2" t="s">
        <v>311</v>
      </c>
    </row>
    <row r="77" spans="1:45" ht="120" x14ac:dyDescent="0.25">
      <c r="A77" s="2" t="s">
        <v>421</v>
      </c>
      <c r="B77" s="2" t="s">
        <v>60</v>
      </c>
      <c r="C77" s="2" t="s">
        <v>418</v>
      </c>
      <c r="D77" s="2" t="s">
        <v>10</v>
      </c>
      <c r="E77" s="2" t="s">
        <v>11</v>
      </c>
      <c r="F77" s="2" t="s">
        <v>6</v>
      </c>
      <c r="G77" s="2">
        <v>120</v>
      </c>
      <c r="H77" s="1">
        <v>29.32</v>
      </c>
      <c r="I77" s="1">
        <f t="shared" si="2"/>
        <v>0.24433333333333335</v>
      </c>
      <c r="J77" s="2" t="s">
        <v>12</v>
      </c>
      <c r="K77" s="2" t="s">
        <v>12</v>
      </c>
      <c r="L77" s="2" t="s">
        <v>99</v>
      </c>
      <c r="M77" s="2">
        <v>7.41</v>
      </c>
      <c r="N77" s="2">
        <f>Table13[[#This Row],[Doses per inhaler1,2]]*Table13[[#This Row],[Indicative carbon footprint /puff (g CO2e) 
Midpoint value7,8]]</f>
        <v>889.2</v>
      </c>
      <c r="O77" s="10" t="s">
        <v>671</v>
      </c>
      <c r="P77" s="3">
        <v>112</v>
      </c>
      <c r="Q77" s="3">
        <f>Table13[[#This Row],[Indicative carbon footprint /puff (g CO2e) 
Midpoint value7,8]]*Table13[[#This Row],[Number of puffs per 28 days1-4]]</f>
        <v>829.92000000000007</v>
      </c>
      <c r="R77" s="3">
        <f>13*Table13[[#This Row],[Indicative carbon footprint per 28 days (g CO2e)]]</f>
        <v>10788.960000000001</v>
      </c>
      <c r="S77" s="3" t="str">
        <f>IF(Table13[[#This Row],[Indicative carbon footprint /puff (g CO2e) 
Midpoint value7,8]]&gt;=35,"High","Low")</f>
        <v>Low</v>
      </c>
      <c r="T77" s="3" t="s">
        <v>734</v>
      </c>
      <c r="U77" s="1">
        <f>Table13[[#This Row],[Number of puffs per 28 days1-4]]*Table13[[#This Row],[Cost/puff 1,5-7]]</f>
        <v>27.365333333333336</v>
      </c>
      <c r="V77" s="1">
        <f>Table13[[#This Row],[Indicative cost per 28 days1,5]]*13</f>
        <v>355.74933333333337</v>
      </c>
      <c r="W77" s="2" t="s">
        <v>160</v>
      </c>
      <c r="X77" s="1" t="s">
        <v>14</v>
      </c>
      <c r="Y77" s="2" t="s">
        <v>5</v>
      </c>
      <c r="Z77" s="4" t="s">
        <v>161</v>
      </c>
      <c r="AA77" s="2" t="s">
        <v>16</v>
      </c>
      <c r="AB77" s="2" t="s">
        <v>17</v>
      </c>
      <c r="AC77" s="9" t="s">
        <v>5</v>
      </c>
      <c r="AD77" s="2" t="s">
        <v>85</v>
      </c>
      <c r="AE77" s="11">
        <f>0.02*Table13[[#This Row],[Doses per inhaler1,2]]</f>
        <v>2.4</v>
      </c>
      <c r="AF77" s="11">
        <f>1.61*Table13[[#This Row],[Doses per inhaler1,2]]</f>
        <v>193.20000000000002</v>
      </c>
      <c r="AG77" s="2">
        <f>2.81*Table13[[#This Row],[Doses per inhaler1,2]]</f>
        <v>337.2</v>
      </c>
      <c r="AH77" s="11">
        <f>0.14*Table13[[#This Row],[Doses per inhaler1,2]]</f>
        <v>16.8</v>
      </c>
      <c r="AI77" s="2">
        <f>1.78*Table13[[#This Row],[Doses per inhaler1,2]]</f>
        <v>213.6</v>
      </c>
      <c r="AJ77" s="11">
        <f>0.01*Table13[[#This Row],[Doses per inhaler1,2]]</f>
        <v>1.2</v>
      </c>
      <c r="AK77" s="11">
        <v>0</v>
      </c>
      <c r="AL77" s="11">
        <f>0.33*Table13[[#This Row],[Doses per inhaler1,2]]</f>
        <v>39.6</v>
      </c>
      <c r="AM77" s="11">
        <v>0</v>
      </c>
      <c r="AN77" s="11">
        <f>0.71*Table13[[#This Row],[Doses per inhaler1,2]]</f>
        <v>85.199999999999989</v>
      </c>
      <c r="AO77" s="2" t="s">
        <v>63</v>
      </c>
      <c r="AP77" s="2" t="s">
        <v>16</v>
      </c>
      <c r="AQ77" s="50" t="s">
        <v>920</v>
      </c>
      <c r="AR77" s="2" t="s">
        <v>623</v>
      </c>
      <c r="AS77" s="2" t="s">
        <v>310</v>
      </c>
    </row>
    <row r="78" spans="1:45" ht="120" x14ac:dyDescent="0.25">
      <c r="A78" s="2" t="s">
        <v>482</v>
      </c>
      <c r="B78" s="2" t="s">
        <v>60</v>
      </c>
      <c r="C78" s="2" t="s">
        <v>420</v>
      </c>
      <c r="D78" s="2" t="s">
        <v>18</v>
      </c>
      <c r="E78" s="2" t="s">
        <v>11</v>
      </c>
      <c r="F78" s="2" t="s">
        <v>6</v>
      </c>
      <c r="G78" s="2">
        <v>120</v>
      </c>
      <c r="H78" s="1">
        <v>29.32</v>
      </c>
      <c r="I78" s="1">
        <f t="shared" si="2"/>
        <v>0.24433333333333335</v>
      </c>
      <c r="J78" s="2" t="s">
        <v>12</v>
      </c>
      <c r="K78" s="2" t="s">
        <v>12</v>
      </c>
      <c r="L78" s="2" t="s">
        <v>13</v>
      </c>
      <c r="M78" s="2">
        <v>7.42</v>
      </c>
      <c r="N78" s="2">
        <f>Table13[[#This Row],[Doses per inhaler1,2]]*Table13[[#This Row],[Indicative carbon footprint /puff (g CO2e) 
Midpoint value7,8]]</f>
        <v>890.4</v>
      </c>
      <c r="O78" s="10" t="s">
        <v>671</v>
      </c>
      <c r="P78" s="3">
        <v>112</v>
      </c>
      <c r="Q78" s="3">
        <f>Table13[[#This Row],[Indicative carbon footprint /puff (g CO2e) 
Midpoint value7,8]]*Table13[[#This Row],[Number of puffs per 28 days1-4]]</f>
        <v>831.04</v>
      </c>
      <c r="R78" s="3">
        <f>13*Table13[[#This Row],[Indicative carbon footprint per 28 days (g CO2e)]]</f>
        <v>10803.52</v>
      </c>
      <c r="S78" s="3" t="str">
        <f>IF(Table13[[#This Row],[Indicative carbon footprint /puff (g CO2e) 
Midpoint value7,8]]&gt;=35,"High","Low")</f>
        <v>Low</v>
      </c>
      <c r="T78" s="3" t="s">
        <v>734</v>
      </c>
      <c r="U78" s="1">
        <f>Table13[[#This Row],[Number of puffs per 28 days1-4]]*Table13[[#This Row],[Cost/puff 1,5-7]]</f>
        <v>27.365333333333336</v>
      </c>
      <c r="V78" s="1">
        <f>Table13[[#This Row],[Indicative cost per 28 days1,5]]*13</f>
        <v>355.74933333333337</v>
      </c>
      <c r="W78" s="2" t="s">
        <v>160</v>
      </c>
      <c r="X78" s="1" t="s">
        <v>14</v>
      </c>
      <c r="Y78" s="2" t="s">
        <v>5</v>
      </c>
      <c r="Z78" s="4" t="s">
        <v>162</v>
      </c>
      <c r="AA78" s="2" t="s">
        <v>16</v>
      </c>
      <c r="AB78" s="2" t="s">
        <v>17</v>
      </c>
      <c r="AC78" s="9" t="s">
        <v>5</v>
      </c>
      <c r="AD78" s="2" t="s">
        <v>85</v>
      </c>
      <c r="AE78" s="11">
        <f>0.02*Table13[[#This Row],[Doses per inhaler1,2]]</f>
        <v>2.4</v>
      </c>
      <c r="AF78" s="11">
        <f>1.61*Table13[[#This Row],[Doses per inhaler1,2]]</f>
        <v>193.20000000000002</v>
      </c>
      <c r="AG78" s="2">
        <f>2.81*Table13[[#This Row],[Doses per inhaler1,2]]</f>
        <v>337.2</v>
      </c>
      <c r="AH78" s="11">
        <f>0.14*Table13[[#This Row],[Doses per inhaler1,2]]</f>
        <v>16.8</v>
      </c>
      <c r="AI78" s="2">
        <f>1.78*Table13[[#This Row],[Doses per inhaler1,2]]</f>
        <v>213.6</v>
      </c>
      <c r="AJ78" s="11">
        <f>0.01*Table13[[#This Row],[Doses per inhaler1,2]]</f>
        <v>1.2</v>
      </c>
      <c r="AK78" s="11">
        <v>0</v>
      </c>
      <c r="AL78" s="11">
        <f>0.33*Table13[[#This Row],[Doses per inhaler1,2]]</f>
        <v>39.6</v>
      </c>
      <c r="AM78" s="11">
        <v>0</v>
      </c>
      <c r="AN78" s="11">
        <f>0.71*Table13[[#This Row],[Doses per inhaler1,2]]</f>
        <v>85.199999999999989</v>
      </c>
      <c r="AO78" s="2" t="s">
        <v>63</v>
      </c>
      <c r="AP78" s="2" t="s">
        <v>16</v>
      </c>
      <c r="AQ78" s="50" t="s">
        <v>920</v>
      </c>
      <c r="AR78" s="2" t="s">
        <v>623</v>
      </c>
      <c r="AS78" s="2" t="s">
        <v>310</v>
      </c>
    </row>
    <row r="79" spans="1:45" ht="60" x14ac:dyDescent="0.25">
      <c r="A79" s="2" t="s">
        <v>422</v>
      </c>
      <c r="B79" s="2" t="s">
        <v>102</v>
      </c>
      <c r="C79" s="2" t="s">
        <v>423</v>
      </c>
      <c r="D79" s="2" t="s">
        <v>18</v>
      </c>
      <c r="E79" s="2" t="s">
        <v>11</v>
      </c>
      <c r="F79" s="2" t="s">
        <v>6</v>
      </c>
      <c r="G79" s="2">
        <v>60</v>
      </c>
      <c r="H79" s="1">
        <v>21.5</v>
      </c>
      <c r="I79" s="1">
        <f t="shared" si="2"/>
        <v>0.35833333333333334</v>
      </c>
      <c r="J79" s="2" t="s">
        <v>37</v>
      </c>
      <c r="K79" s="2" t="s">
        <v>37</v>
      </c>
      <c r="L79" s="2" t="s">
        <v>13</v>
      </c>
      <c r="M79" s="2">
        <v>9.5299999999999994</v>
      </c>
      <c r="N79" s="2">
        <f>Table13[[#This Row],[Doses per inhaler1,2]]*Table13[[#This Row],[Indicative carbon footprint /puff (g CO2e) 
Midpoint value7,8]]</f>
        <v>571.79999999999995</v>
      </c>
      <c r="O79" s="10" t="s">
        <v>671</v>
      </c>
      <c r="P79" s="3">
        <v>56</v>
      </c>
      <c r="Q79" s="3">
        <f>Table13[[#This Row],[Indicative carbon footprint /puff (g CO2e) 
Midpoint value7,8]]*Table13[[#This Row],[Number of puffs per 28 days1-4]]</f>
        <v>533.67999999999995</v>
      </c>
      <c r="R79" s="3">
        <f>13*Table13[[#This Row],[Indicative carbon footprint per 28 days (g CO2e)]]</f>
        <v>6937.8399999999992</v>
      </c>
      <c r="S79" s="3" t="str">
        <f>IF(Table13[[#This Row],[Indicative carbon footprint /puff (g CO2e) 
Midpoint value7,8]]&gt;=35,"High","Low")</f>
        <v>Low</v>
      </c>
      <c r="T79" s="3" t="s">
        <v>734</v>
      </c>
      <c r="U79" s="1">
        <f>Table13[[#This Row],[Number of puffs per 28 days1-4]]*Table13[[#This Row],[Cost/puff 1,5-7]]</f>
        <v>20.066666666666666</v>
      </c>
      <c r="V79" s="1">
        <f>Table13[[#This Row],[Indicative cost per 28 days1,5]]*13</f>
        <v>260.86666666666667</v>
      </c>
      <c r="X79" s="1" t="s">
        <v>14</v>
      </c>
      <c r="Y79" s="2" t="s">
        <v>5</v>
      </c>
      <c r="Z79" s="4" t="s">
        <v>163</v>
      </c>
      <c r="AA79" s="9" t="s">
        <v>45</v>
      </c>
      <c r="AB79" s="2" t="s">
        <v>17</v>
      </c>
      <c r="AC79" s="9" t="s">
        <v>5</v>
      </c>
      <c r="AD79" s="2" t="s">
        <v>105</v>
      </c>
      <c r="AE79" s="11">
        <v>252.4</v>
      </c>
      <c r="AF79" s="11">
        <v>244.55</v>
      </c>
      <c r="AG79" s="2" t="s">
        <v>328</v>
      </c>
      <c r="AH79" s="11">
        <v>11.25</v>
      </c>
      <c r="AI79" s="2" t="s">
        <v>5</v>
      </c>
      <c r="AJ79" s="11" t="s">
        <v>5</v>
      </c>
      <c r="AK79" s="11" t="s">
        <v>5</v>
      </c>
      <c r="AL79" s="11">
        <v>8.14</v>
      </c>
      <c r="AM79" s="11">
        <v>0</v>
      </c>
      <c r="AN79" s="11">
        <v>55.52</v>
      </c>
      <c r="AO79" s="2" t="s">
        <v>63</v>
      </c>
      <c r="AP79" s="11" t="s">
        <v>5</v>
      </c>
      <c r="AQ79" s="11" t="s">
        <v>5</v>
      </c>
      <c r="AR79" s="46" t="s">
        <v>623</v>
      </c>
      <c r="AS79" s="2" t="s">
        <v>310</v>
      </c>
    </row>
    <row r="80" spans="1:45" ht="60" x14ac:dyDescent="0.25">
      <c r="A80" s="2" t="s">
        <v>424</v>
      </c>
      <c r="B80" s="2" t="s">
        <v>102</v>
      </c>
      <c r="C80" s="2" t="s">
        <v>337</v>
      </c>
      <c r="D80" s="2" t="s">
        <v>10</v>
      </c>
      <c r="E80" s="2" t="s">
        <v>11</v>
      </c>
      <c r="F80" s="2" t="s">
        <v>6</v>
      </c>
      <c r="G80" s="2">
        <v>60</v>
      </c>
      <c r="H80" s="1">
        <v>26.99</v>
      </c>
      <c r="I80" s="1">
        <f t="shared" si="2"/>
        <v>0.44983333333333331</v>
      </c>
      <c r="J80" s="2" t="s">
        <v>37</v>
      </c>
      <c r="K80" s="2" t="s">
        <v>37</v>
      </c>
      <c r="L80" s="2" t="s">
        <v>13</v>
      </c>
      <c r="M80" s="2">
        <v>9.5299999999999994</v>
      </c>
      <c r="N80" s="2">
        <f>Table13[[#This Row],[Doses per inhaler1,2]]*Table13[[#This Row],[Indicative carbon footprint /puff (g CO2e) 
Midpoint value7,8]]</f>
        <v>571.79999999999995</v>
      </c>
      <c r="O80" s="10" t="s">
        <v>671</v>
      </c>
      <c r="P80" s="3">
        <v>56</v>
      </c>
      <c r="Q80" s="3">
        <f>Table13[[#This Row],[Indicative carbon footprint /puff (g CO2e) 
Midpoint value7,8]]*Table13[[#This Row],[Number of puffs per 28 days1-4]]</f>
        <v>533.67999999999995</v>
      </c>
      <c r="R80" s="3">
        <f>13*Table13[[#This Row],[Indicative carbon footprint per 28 days (g CO2e)]]</f>
        <v>6937.8399999999992</v>
      </c>
      <c r="S80" s="3" t="str">
        <f>IF(Table13[[#This Row],[Indicative carbon footprint /puff (g CO2e) 
Midpoint value7,8]]&gt;=35,"High","Low")</f>
        <v>Low</v>
      </c>
      <c r="T80" s="3" t="s">
        <v>734</v>
      </c>
      <c r="U80" s="1">
        <f>Table13[[#This Row],[Number of puffs per 28 days1-4]]*Table13[[#This Row],[Cost/puff 1,5-7]]</f>
        <v>25.190666666666665</v>
      </c>
      <c r="V80" s="1">
        <f>Table13[[#This Row],[Indicative cost per 28 days1,5]]*13</f>
        <v>327.47866666666664</v>
      </c>
      <c r="X80" s="1" t="s">
        <v>14</v>
      </c>
      <c r="Y80" s="2" t="s">
        <v>5</v>
      </c>
      <c r="Z80" s="4" t="s">
        <v>164</v>
      </c>
      <c r="AB80" s="2" t="s">
        <v>17</v>
      </c>
      <c r="AC80" s="9" t="s">
        <v>5</v>
      </c>
      <c r="AD80" s="2" t="s">
        <v>105</v>
      </c>
      <c r="AE80" s="11">
        <v>252.4</v>
      </c>
      <c r="AF80" s="11">
        <v>244.55</v>
      </c>
      <c r="AG80" s="2" t="s">
        <v>328</v>
      </c>
      <c r="AH80" s="11">
        <v>11.25</v>
      </c>
      <c r="AI80" s="2" t="s">
        <v>5</v>
      </c>
      <c r="AJ80" s="11" t="s">
        <v>5</v>
      </c>
      <c r="AK80" s="11" t="s">
        <v>5</v>
      </c>
      <c r="AL80" s="11">
        <v>8.14</v>
      </c>
      <c r="AM80" s="11">
        <v>0</v>
      </c>
      <c r="AN80" s="11">
        <v>55.52</v>
      </c>
      <c r="AO80" s="2" t="s">
        <v>63</v>
      </c>
      <c r="AP80" s="11" t="s">
        <v>5</v>
      </c>
      <c r="AQ80" s="11" t="s">
        <v>5</v>
      </c>
      <c r="AR80" s="46" t="s">
        <v>623</v>
      </c>
      <c r="AS80" s="2" t="s">
        <v>310</v>
      </c>
    </row>
    <row r="81" spans="1:45" ht="60" x14ac:dyDescent="0.25">
      <c r="A81" s="2" t="s">
        <v>814</v>
      </c>
      <c r="B81" s="2" t="s">
        <v>23</v>
      </c>
      <c r="C81" s="2" t="s">
        <v>816</v>
      </c>
      <c r="D81" s="2" t="s">
        <v>10</v>
      </c>
      <c r="E81" s="2" t="s">
        <v>11</v>
      </c>
      <c r="F81" s="2" t="s">
        <v>6</v>
      </c>
      <c r="G81" s="2">
        <v>180</v>
      </c>
      <c r="H81" s="1">
        <v>75.63</v>
      </c>
      <c r="I81" s="1">
        <f t="shared" si="2"/>
        <v>0.42016666666666663</v>
      </c>
      <c r="J81" s="2" t="s">
        <v>12</v>
      </c>
      <c r="K81" s="2" t="s">
        <v>12</v>
      </c>
      <c r="L81" s="2" t="s">
        <v>99</v>
      </c>
      <c r="M81" s="2">
        <v>3</v>
      </c>
      <c r="N81" s="2">
        <v>593</v>
      </c>
      <c r="O81" s="10" t="s">
        <v>672</v>
      </c>
      <c r="P81" s="3">
        <v>56</v>
      </c>
      <c r="Q81" s="29">
        <f>Table13[[#This Row],[Indicative carbon footprint /puff (g CO2e) 
Midpoint value7,8]]*Table13[[#This Row],[Number of puffs per 28 days1-4]]</f>
        <v>168</v>
      </c>
      <c r="R81" s="29">
        <f>13*Table13[[#This Row],[Indicative carbon footprint per 28 days (g CO2e)]]</f>
        <v>2184</v>
      </c>
      <c r="S81" s="3" t="str">
        <f>IF(Table13[[#This Row],[Indicative carbon footprint /puff (g CO2e) 
Midpoint value7,8]]&gt;=35,"High","Low")</f>
        <v>Low</v>
      </c>
      <c r="T81" s="3"/>
      <c r="U81" s="1">
        <f>Table13[[#This Row],[Number of puffs per 28 days1-4]]*Table13[[#This Row],[Cost/puff 1,5-7]]</f>
        <v>23.52933333333333</v>
      </c>
      <c r="V81" s="1">
        <f>Table13[[#This Row],[Indicative cost per 28 days1,5]]*13</f>
        <v>305.88133333333332</v>
      </c>
      <c r="W81" s="32"/>
      <c r="X81" s="1" t="s">
        <v>822</v>
      </c>
      <c r="Y81" s="2" t="s">
        <v>5</v>
      </c>
      <c r="Z81" s="4" t="s">
        <v>820</v>
      </c>
      <c r="AB81" s="2" t="s">
        <v>17</v>
      </c>
      <c r="AC81" s="9" t="s">
        <v>5</v>
      </c>
      <c r="AD81" s="2" t="s">
        <v>823</v>
      </c>
      <c r="AE81" s="2" t="s">
        <v>823</v>
      </c>
      <c r="AF81" s="2" t="s">
        <v>823</v>
      </c>
      <c r="AG81" s="2" t="s">
        <v>823</v>
      </c>
      <c r="AH81" s="2" t="s">
        <v>823</v>
      </c>
      <c r="AI81" s="2" t="s">
        <v>823</v>
      </c>
      <c r="AJ81" s="2" t="s">
        <v>823</v>
      </c>
      <c r="AK81" s="2" t="s">
        <v>823</v>
      </c>
      <c r="AL81" s="2" t="s">
        <v>823</v>
      </c>
      <c r="AM81" s="2" t="s">
        <v>823</v>
      </c>
      <c r="AN81" s="2" t="s">
        <v>823</v>
      </c>
      <c r="AO81" s="2" t="s">
        <v>823</v>
      </c>
      <c r="AP81" s="2" t="s">
        <v>823</v>
      </c>
      <c r="AQ81" s="2" t="s">
        <v>823</v>
      </c>
      <c r="AR81" s="2" t="s">
        <v>823</v>
      </c>
      <c r="AS81" s="10"/>
    </row>
    <row r="82" spans="1:45" ht="60" x14ac:dyDescent="0.25">
      <c r="A82" s="2" t="s">
        <v>815</v>
      </c>
      <c r="B82" s="2" t="s">
        <v>23</v>
      </c>
      <c r="C82" s="2" t="s">
        <v>817</v>
      </c>
      <c r="D82" s="2" t="s">
        <v>10</v>
      </c>
      <c r="E82" s="2" t="s">
        <v>11</v>
      </c>
      <c r="F82" s="2" t="s">
        <v>6</v>
      </c>
      <c r="G82" s="2">
        <v>90</v>
      </c>
      <c r="H82" s="1">
        <v>75.63</v>
      </c>
      <c r="I82" s="1">
        <f t="shared" si="2"/>
        <v>0.84033333333333327</v>
      </c>
      <c r="J82" s="2" t="s">
        <v>12</v>
      </c>
      <c r="K82" s="2" t="s">
        <v>12</v>
      </c>
      <c r="L82" s="2" t="s">
        <v>13</v>
      </c>
      <c r="M82" s="2">
        <v>6</v>
      </c>
      <c r="N82" s="2">
        <v>552</v>
      </c>
      <c r="O82" s="10" t="s">
        <v>672</v>
      </c>
      <c r="P82" s="3">
        <v>56</v>
      </c>
      <c r="Q82" s="29">
        <f>Table13[[#This Row],[Indicative carbon footprint /puff (g CO2e) 
Midpoint value7,8]]*Table13[[#This Row],[Number of puffs per 28 days1-4]]</f>
        <v>336</v>
      </c>
      <c r="R82" s="29">
        <f>13*Table13[[#This Row],[Indicative carbon footprint per 28 days (g CO2e)]]</f>
        <v>4368</v>
      </c>
      <c r="S82" s="3" t="str">
        <f>IF(Table13[[#This Row],[Indicative carbon footprint /puff (g CO2e) 
Midpoint value7,8]]&gt;=35,"High","Low")</f>
        <v>Low</v>
      </c>
      <c r="T82" s="3"/>
      <c r="U82" s="1">
        <f>Table13[[#This Row],[Number of puffs per 28 days1-4]]*Table13[[#This Row],[Cost/puff 1,5-7]]</f>
        <v>47.05866666666666</v>
      </c>
      <c r="V82" s="1">
        <f>Table13[[#This Row],[Indicative cost per 28 days1,5]]*13</f>
        <v>611.76266666666663</v>
      </c>
      <c r="W82" s="32"/>
      <c r="X82" s="1" t="s">
        <v>822</v>
      </c>
      <c r="Y82" s="2" t="s">
        <v>5</v>
      </c>
      <c r="Z82" s="4" t="s">
        <v>821</v>
      </c>
      <c r="AB82" s="2" t="s">
        <v>17</v>
      </c>
      <c r="AC82" s="9" t="s">
        <v>5</v>
      </c>
      <c r="AD82" s="2" t="s">
        <v>823</v>
      </c>
      <c r="AE82" s="2" t="s">
        <v>823</v>
      </c>
      <c r="AF82" s="2" t="s">
        <v>823</v>
      </c>
      <c r="AG82" s="2" t="s">
        <v>823</v>
      </c>
      <c r="AH82" s="2" t="s">
        <v>823</v>
      </c>
      <c r="AI82" s="2" t="s">
        <v>823</v>
      </c>
      <c r="AJ82" s="2" t="s">
        <v>823</v>
      </c>
      <c r="AK82" s="2" t="s">
        <v>823</v>
      </c>
      <c r="AL82" s="2" t="s">
        <v>823</v>
      </c>
      <c r="AM82" s="2" t="s">
        <v>823</v>
      </c>
      <c r="AN82" s="2" t="s">
        <v>823</v>
      </c>
      <c r="AO82" s="2" t="s">
        <v>823</v>
      </c>
      <c r="AP82" s="2" t="s">
        <v>823</v>
      </c>
      <c r="AQ82" s="2" t="s">
        <v>823</v>
      </c>
      <c r="AR82" s="2" t="s">
        <v>823</v>
      </c>
      <c r="AS82" s="10"/>
    </row>
    <row r="83" spans="1:45" ht="105" x14ac:dyDescent="0.25">
      <c r="A83" s="2" t="s">
        <v>165</v>
      </c>
      <c r="B83" s="2" t="s">
        <v>41</v>
      </c>
      <c r="C83" s="2" t="s">
        <v>483</v>
      </c>
      <c r="D83" s="2" t="s">
        <v>43</v>
      </c>
      <c r="E83" s="2" t="s">
        <v>113</v>
      </c>
      <c r="F83" s="2" t="s">
        <v>6</v>
      </c>
      <c r="G83" s="2">
        <v>30</v>
      </c>
      <c r="H83" s="1">
        <v>27.5</v>
      </c>
      <c r="I83" s="1">
        <f t="shared" si="2"/>
        <v>0.91666666666666663</v>
      </c>
      <c r="J83" s="2" t="s">
        <v>12</v>
      </c>
      <c r="K83" s="2" t="s">
        <v>12</v>
      </c>
      <c r="L83" s="2" t="s">
        <v>5</v>
      </c>
      <c r="M83" s="2">
        <v>24</v>
      </c>
      <c r="N83" s="2">
        <v>731</v>
      </c>
      <c r="O83" s="10" t="s">
        <v>671</v>
      </c>
      <c r="P83" s="3">
        <v>28</v>
      </c>
      <c r="Q83" s="3">
        <f>Table13[[#This Row],[Indicative carbon footprint /puff (g CO2e) 
Midpoint value7,8]]*Table13[[#This Row],[Number of puffs per 28 days1-4]]</f>
        <v>672</v>
      </c>
      <c r="R83" s="3">
        <f>13*Table13[[#This Row],[Indicative carbon footprint per 28 days (g CO2e)]]</f>
        <v>8736</v>
      </c>
      <c r="S83" s="3" t="str">
        <f>IF(Table13[[#This Row],[Indicative carbon footprint /puff (g CO2e) 
Midpoint value7,8]]&gt;=35,"High","Low")</f>
        <v>Low</v>
      </c>
      <c r="T83" s="3"/>
      <c r="U83" s="1">
        <f>Table13[[#This Row],[Number of puffs per 28 days1-4]]*Table13[[#This Row],[Cost/puff 1,5-7]]</f>
        <v>25.666666666666664</v>
      </c>
      <c r="V83" s="1">
        <f>Table13[[#This Row],[Indicative cost per 28 days1,5]]*13</f>
        <v>333.66666666666663</v>
      </c>
      <c r="X83" s="1" t="s">
        <v>14</v>
      </c>
      <c r="Y83" s="2" t="s">
        <v>5</v>
      </c>
      <c r="Z83" s="4" t="s">
        <v>166</v>
      </c>
      <c r="AA83" s="2" t="s">
        <v>45</v>
      </c>
      <c r="AB83" s="2" t="s">
        <v>17</v>
      </c>
      <c r="AC83" s="9" t="s">
        <v>5</v>
      </c>
      <c r="AD83" s="2" t="s">
        <v>46</v>
      </c>
      <c r="AE83" s="2">
        <v>8</v>
      </c>
      <c r="AF83" s="2">
        <v>235</v>
      </c>
      <c r="AG83" s="2" t="s">
        <v>515</v>
      </c>
      <c r="AH83" s="2" t="s">
        <v>322</v>
      </c>
      <c r="AI83" s="2">
        <v>348</v>
      </c>
      <c r="AJ83" s="2" t="s">
        <v>516</v>
      </c>
      <c r="AK83" s="2" t="s">
        <v>516</v>
      </c>
      <c r="AL83" s="2">
        <v>28</v>
      </c>
      <c r="AM83" s="2">
        <v>60</v>
      </c>
      <c r="AN83" s="2">
        <v>52</v>
      </c>
      <c r="AO83" s="2" t="s">
        <v>63</v>
      </c>
      <c r="AP83" s="2" t="s">
        <v>5</v>
      </c>
      <c r="AQ83" s="2" t="s">
        <v>5</v>
      </c>
      <c r="AR83" s="2" t="s">
        <v>47</v>
      </c>
      <c r="AS83" s="2" t="s">
        <v>310</v>
      </c>
    </row>
    <row r="84" spans="1:45" ht="30" x14ac:dyDescent="0.25">
      <c r="A84" s="2" t="s">
        <v>167</v>
      </c>
      <c r="B84" s="2" t="s">
        <v>335</v>
      </c>
      <c r="C84" s="2" t="s">
        <v>493</v>
      </c>
      <c r="D84" s="2" t="s">
        <v>10</v>
      </c>
      <c r="E84" s="2" t="s">
        <v>65</v>
      </c>
      <c r="F84" s="2" t="s">
        <v>19</v>
      </c>
      <c r="G84" s="2">
        <v>200</v>
      </c>
      <c r="H84" s="1">
        <v>5.56</v>
      </c>
      <c r="I84" s="1">
        <f t="shared" si="2"/>
        <v>2.7799999999999998E-2</v>
      </c>
      <c r="J84" s="2" t="s">
        <v>76</v>
      </c>
      <c r="K84" s="2" t="s">
        <v>67</v>
      </c>
      <c r="L84" s="2" t="s">
        <v>5</v>
      </c>
      <c r="M84" s="7">
        <v>71.5</v>
      </c>
      <c r="N84" s="3">
        <f>Table13[[#This Row],[Indicative carbon footprint /puff (g CO2e) 
Midpoint value7,8]]*Table13[[#This Row],[Doses per inhaler1,2]]</f>
        <v>14300</v>
      </c>
      <c r="O84" s="10" t="s">
        <v>672</v>
      </c>
      <c r="P84" s="3">
        <v>84</v>
      </c>
      <c r="Q84" s="3">
        <f>Table13[[#This Row],[Indicative carbon footprint /puff (g CO2e) 
Midpoint value7,8]]*Table13[[#This Row],[Number of puffs per 28 days1-4]]</f>
        <v>6006</v>
      </c>
      <c r="R84" s="16">
        <f>13*Table13[[#This Row],[Indicative carbon footprint per 28 days (g CO2e)]]</f>
        <v>78078</v>
      </c>
      <c r="S84" s="3" t="str">
        <f>IF(Table13[[#This Row],[Indicative carbon footprint /puff (g CO2e) 
Midpoint value7,8]]&gt;=35,"High","Low")</f>
        <v>High</v>
      </c>
      <c r="T84" s="3"/>
      <c r="U84" s="1">
        <f>Table13[[#This Row],[Number of puffs per 28 days1-4]]*Table13[[#This Row],[Cost/puff 1,5-7]]</f>
        <v>2.3351999999999999</v>
      </c>
      <c r="V84" s="1">
        <f>Table13[[#This Row],[Indicative cost per 28 days1,5]]*13</f>
        <v>30.357599999999998</v>
      </c>
      <c r="W84" s="2" t="s">
        <v>68</v>
      </c>
      <c r="X84" s="1" t="s">
        <v>7</v>
      </c>
      <c r="Y84" s="2" t="s">
        <v>210</v>
      </c>
      <c r="Z84" s="4" t="s">
        <v>168</v>
      </c>
      <c r="AC84" s="2" t="s">
        <v>29</v>
      </c>
      <c r="AD84" s="2" t="s">
        <v>63</v>
      </c>
      <c r="AE84" s="2" t="s">
        <v>63</v>
      </c>
      <c r="AF84" s="2" t="s">
        <v>63</v>
      </c>
      <c r="AG84" s="2" t="s">
        <v>63</v>
      </c>
      <c r="AH84" s="2" t="s">
        <v>63</v>
      </c>
      <c r="AI84" s="2" t="s">
        <v>63</v>
      </c>
      <c r="AJ84" s="2" t="s">
        <v>63</v>
      </c>
      <c r="AK84" s="2" t="s">
        <v>63</v>
      </c>
      <c r="AL84" s="2" t="s">
        <v>63</v>
      </c>
      <c r="AM84" s="2" t="s">
        <v>63</v>
      </c>
      <c r="AN84" s="2" t="s">
        <v>63</v>
      </c>
      <c r="AO84" s="2" t="s">
        <v>63</v>
      </c>
      <c r="AP84" s="2" t="s">
        <v>16</v>
      </c>
      <c r="AQ84" s="2" t="s">
        <v>169</v>
      </c>
      <c r="AR84" s="2" t="s">
        <v>63</v>
      </c>
      <c r="AS84" s="10" t="s">
        <v>313</v>
      </c>
    </row>
    <row r="85" spans="1:45" ht="75" x14ac:dyDescent="0.25">
      <c r="A85" s="2" t="s">
        <v>170</v>
      </c>
      <c r="B85" s="2" t="s">
        <v>171</v>
      </c>
      <c r="C85" s="2" t="s">
        <v>172</v>
      </c>
      <c r="D85" s="2" t="s">
        <v>18</v>
      </c>
      <c r="E85" s="2" t="s">
        <v>304</v>
      </c>
      <c r="F85" s="2" t="s">
        <v>19</v>
      </c>
      <c r="G85" s="2">
        <v>112</v>
      </c>
      <c r="H85" s="1">
        <v>18.329999999999998</v>
      </c>
      <c r="I85" s="1">
        <f t="shared" si="2"/>
        <v>0.16366071428571427</v>
      </c>
      <c r="J85" s="2" t="s">
        <v>249</v>
      </c>
      <c r="K85" s="2" t="s">
        <v>173</v>
      </c>
      <c r="L85" s="2" t="s">
        <v>5</v>
      </c>
      <c r="M85" s="2">
        <v>295</v>
      </c>
      <c r="N85" s="2">
        <f>Table13[[#This Row],[Doses per inhaler1,2]]*Table13[[#This Row],[Indicative carbon footprint /puff (g CO2e) 
Midpoint value7,8]]</f>
        <v>33040</v>
      </c>
      <c r="O85" s="10" t="s">
        <v>676</v>
      </c>
      <c r="P85" s="3">
        <v>112</v>
      </c>
      <c r="Q85" s="3">
        <f>Table13[[#This Row],[Indicative carbon footprint /puff (g CO2e) 
Midpoint value7,8]]*Table13[[#This Row],[Number of puffs per 28 days1-4]]</f>
        <v>33040</v>
      </c>
      <c r="R85" s="3">
        <f>13*Table13[[#This Row],[Indicative carbon footprint per 28 days (g CO2e)]]</f>
        <v>429520</v>
      </c>
      <c r="S85" s="3" t="str">
        <f>IF(Table13[[#This Row],[Indicative carbon footprint /puff (g CO2e) 
Midpoint value7,8]]&gt;=35,"High","Low")</f>
        <v>High</v>
      </c>
      <c r="T85" s="3"/>
      <c r="U85" s="1">
        <f>Table13[[#This Row],[Number of puffs per 28 days1-4]]*Table13[[#This Row],[Cost/puff 1,5-7]]</f>
        <v>18.329999999999998</v>
      </c>
      <c r="V85" s="1">
        <f>Table13[[#This Row],[Indicative cost per 28 days1,5]]*13</f>
        <v>238.28999999999996</v>
      </c>
      <c r="W85" s="2" t="s">
        <v>698</v>
      </c>
      <c r="X85" s="1" t="s">
        <v>7</v>
      </c>
      <c r="Y85" s="2" t="s">
        <v>307</v>
      </c>
      <c r="Z85" s="4" t="s">
        <v>697</v>
      </c>
      <c r="AD85" s="2" t="s">
        <v>63</v>
      </c>
      <c r="AE85" s="2" t="s">
        <v>63</v>
      </c>
      <c r="AF85" s="2" t="s">
        <v>63</v>
      </c>
      <c r="AG85" s="2" t="s">
        <v>63</v>
      </c>
      <c r="AH85" s="2" t="s">
        <v>63</v>
      </c>
      <c r="AI85" s="2" t="s">
        <v>63</v>
      </c>
      <c r="AJ85" s="2" t="s">
        <v>63</v>
      </c>
      <c r="AK85" s="2" t="s">
        <v>63</v>
      </c>
      <c r="AL85" s="2" t="s">
        <v>63</v>
      </c>
      <c r="AM85" s="2" t="s">
        <v>63</v>
      </c>
      <c r="AN85" s="2" t="s">
        <v>63</v>
      </c>
      <c r="AO85" s="2" t="s">
        <v>63</v>
      </c>
      <c r="AP85" s="2" t="s">
        <v>63</v>
      </c>
      <c r="AQ85" s="2" t="s">
        <v>63</v>
      </c>
      <c r="AR85" s="2" t="s">
        <v>63</v>
      </c>
      <c r="AS85" s="10" t="s">
        <v>314</v>
      </c>
    </row>
    <row r="86" spans="1:45" ht="124.5" x14ac:dyDescent="0.25">
      <c r="A86" s="2" t="s">
        <v>425</v>
      </c>
      <c r="B86" s="2" t="s">
        <v>174</v>
      </c>
      <c r="C86" s="2" t="s">
        <v>368</v>
      </c>
      <c r="D86" s="2" t="s">
        <v>18</v>
      </c>
      <c r="E86" s="2" t="s">
        <v>36</v>
      </c>
      <c r="F86" s="2" t="s">
        <v>19</v>
      </c>
      <c r="G86" s="2">
        <v>200</v>
      </c>
      <c r="H86" s="1">
        <v>13.25</v>
      </c>
      <c r="I86" s="1">
        <f t="shared" si="2"/>
        <v>6.6250000000000003E-2</v>
      </c>
      <c r="J86" s="2" t="s">
        <v>12</v>
      </c>
      <c r="K86" s="2" t="s">
        <v>12</v>
      </c>
      <c r="L86" s="2" t="s">
        <v>5</v>
      </c>
      <c r="M86" s="2">
        <v>86.84</v>
      </c>
      <c r="N86" s="2">
        <f>Table13[[#This Row],[Doses per inhaler1,2]]*Table13[[#This Row],[Indicative carbon footprint /puff (g CO2e) 
Midpoint value7,8]]</f>
        <v>17368</v>
      </c>
      <c r="O86" s="10" t="s">
        <v>669</v>
      </c>
      <c r="P86" s="3">
        <v>56</v>
      </c>
      <c r="Q86" s="3">
        <f>Table13[[#This Row],[Indicative carbon footprint /puff (g CO2e) 
Midpoint value7,8]]*Table13[[#This Row],[Number of puffs per 28 days1-4]]</f>
        <v>4863.04</v>
      </c>
      <c r="R86" s="3">
        <f>13*Table13[[#This Row],[Indicative carbon footprint per 28 days (g CO2e)]]</f>
        <v>63219.519999999997</v>
      </c>
      <c r="S86" s="3" t="str">
        <f>IF(Table13[[#This Row],[Indicative carbon footprint /puff (g CO2e) 
Midpoint value7,8]]&gt;=35,"High","Low")</f>
        <v>High</v>
      </c>
      <c r="T86" s="3"/>
      <c r="U86" s="1">
        <f>Table13[[#This Row],[Number of puffs per 28 days1-4]]*Table13[[#This Row],[Cost/puff 1,5-7]]</f>
        <v>3.71</v>
      </c>
      <c r="V86" s="1">
        <f>Table13[[#This Row],[Indicative cost per 28 days1,5]]*13</f>
        <v>48.23</v>
      </c>
      <c r="W86" s="2" t="s">
        <v>175</v>
      </c>
      <c r="X86" s="1" t="s">
        <v>14</v>
      </c>
      <c r="Y86" s="2" t="s">
        <v>210</v>
      </c>
      <c r="Z86" s="4" t="s">
        <v>176</v>
      </c>
      <c r="AA86" s="9" t="s">
        <v>45</v>
      </c>
      <c r="AC86" s="2" t="s">
        <v>5</v>
      </c>
      <c r="AD86" s="2" t="s">
        <v>620</v>
      </c>
      <c r="AE86" s="2" t="s">
        <v>63</v>
      </c>
      <c r="AF86" s="2" t="s">
        <v>63</v>
      </c>
      <c r="AG86" s="2" t="s">
        <v>63</v>
      </c>
      <c r="AH86" s="2" t="s">
        <v>63</v>
      </c>
      <c r="AI86" s="2" t="s">
        <v>562</v>
      </c>
      <c r="AJ86" s="2" t="s">
        <v>563</v>
      </c>
      <c r="AK86" s="2" t="s">
        <v>564</v>
      </c>
      <c r="AL86" s="2" t="s">
        <v>63</v>
      </c>
      <c r="AM86" s="2" t="s">
        <v>566</v>
      </c>
      <c r="AN86" s="2" t="s">
        <v>178</v>
      </c>
      <c r="AO86" s="2" t="s">
        <v>63</v>
      </c>
      <c r="AP86" s="2" t="s">
        <v>16</v>
      </c>
      <c r="AQ86" s="2">
        <v>2024</v>
      </c>
      <c r="AR86" s="2" t="s">
        <v>179</v>
      </c>
      <c r="AS86" s="2" t="s">
        <v>312</v>
      </c>
    </row>
    <row r="87" spans="1:45" ht="120" x14ac:dyDescent="0.25">
      <c r="A87" s="28" t="s">
        <v>426</v>
      </c>
      <c r="B87" s="2" t="s">
        <v>174</v>
      </c>
      <c r="C87" s="2" t="s">
        <v>374</v>
      </c>
      <c r="D87" s="2" t="s">
        <v>18</v>
      </c>
      <c r="E87" s="2" t="s">
        <v>36</v>
      </c>
      <c r="F87" s="2" t="s">
        <v>19</v>
      </c>
      <c r="G87" s="2">
        <v>200</v>
      </c>
      <c r="H87" s="1">
        <v>6.06</v>
      </c>
      <c r="I87" s="1">
        <f t="shared" si="2"/>
        <v>3.0299999999999997E-2</v>
      </c>
      <c r="J87" s="2" t="s">
        <v>12</v>
      </c>
      <c r="K87" s="2" t="s">
        <v>12</v>
      </c>
      <c r="L87" s="2" t="s">
        <v>5</v>
      </c>
      <c r="M87" s="2">
        <v>86.84</v>
      </c>
      <c r="N87" s="2">
        <f>Table13[[#This Row],[Doses per inhaler1,2]]*Table13[[#This Row],[Indicative carbon footprint /puff (g CO2e) 
Midpoint value7,8]]</f>
        <v>17368</v>
      </c>
      <c r="O87" s="43" t="s">
        <v>669</v>
      </c>
      <c r="P87" s="3">
        <v>56</v>
      </c>
      <c r="Q87" s="3">
        <f>Table13[[#This Row],[Indicative carbon footprint /puff (g CO2e) 
Midpoint value7,8]]*Table13[[#This Row],[Number of puffs per 28 days1-4]]</f>
        <v>4863.04</v>
      </c>
      <c r="R87" s="3">
        <f>13*Table13[[#This Row],[Indicative carbon footprint per 28 days (g CO2e)]]</f>
        <v>63219.519999999997</v>
      </c>
      <c r="S87" s="3" t="str">
        <f>IF(Table13[[#This Row],[Indicative carbon footprint /puff (g CO2e) 
Midpoint value7,8]]&gt;=35,"High","Low")</f>
        <v>High</v>
      </c>
      <c r="T87" s="3"/>
      <c r="U87" s="1">
        <f>Table13[[#This Row],[Number of puffs per 28 days1-4]]*Table13[[#This Row],[Cost/puff 1,5-7]]</f>
        <v>1.6967999999999999</v>
      </c>
      <c r="V87" s="1">
        <f>Table13[[#This Row],[Indicative cost per 28 days1,5]]*13</f>
        <v>22.058399999999999</v>
      </c>
      <c r="W87" s="2" t="s">
        <v>175</v>
      </c>
      <c r="X87" s="1" t="s">
        <v>14</v>
      </c>
      <c r="Y87" s="2" t="s">
        <v>210</v>
      </c>
      <c r="Z87" s="4" t="s">
        <v>180</v>
      </c>
      <c r="AA87" s="9" t="s">
        <v>45</v>
      </c>
      <c r="AC87" s="2" t="s">
        <v>5</v>
      </c>
      <c r="AD87" s="2" t="s">
        <v>620</v>
      </c>
      <c r="AE87" s="28" t="s">
        <v>63</v>
      </c>
      <c r="AF87" s="28" t="s">
        <v>63</v>
      </c>
      <c r="AG87" s="28" t="s">
        <v>63</v>
      </c>
      <c r="AH87" s="28" t="s">
        <v>63</v>
      </c>
      <c r="AI87" s="28" t="s">
        <v>177</v>
      </c>
      <c r="AJ87" s="28" t="s">
        <v>565</v>
      </c>
      <c r="AK87" s="28" t="s">
        <v>564</v>
      </c>
      <c r="AL87" s="28" t="s">
        <v>63</v>
      </c>
      <c r="AM87" s="28" t="s">
        <v>566</v>
      </c>
      <c r="AN87" s="28" t="s">
        <v>178</v>
      </c>
      <c r="AO87" s="28" t="s">
        <v>63</v>
      </c>
      <c r="AP87" s="28" t="s">
        <v>16</v>
      </c>
      <c r="AQ87" s="28">
        <v>2024</v>
      </c>
      <c r="AR87" s="28" t="s">
        <v>179</v>
      </c>
      <c r="AS87" s="28" t="s">
        <v>312</v>
      </c>
    </row>
    <row r="88" spans="1:45" ht="220.5" x14ac:dyDescent="0.25">
      <c r="A88" s="28" t="s">
        <v>687</v>
      </c>
      <c r="B88" s="2" t="s">
        <v>326</v>
      </c>
      <c r="C88" s="2" t="s">
        <v>418</v>
      </c>
      <c r="D88" s="2" t="s">
        <v>10</v>
      </c>
      <c r="E88" s="2" t="s">
        <v>11</v>
      </c>
      <c r="F88" s="2" t="s">
        <v>19</v>
      </c>
      <c r="G88" s="2">
        <v>120</v>
      </c>
      <c r="H88" s="1">
        <v>13.98</v>
      </c>
      <c r="I88" s="1">
        <f t="shared" si="2"/>
        <v>0.11650000000000001</v>
      </c>
      <c r="J88" s="2" t="s">
        <v>12</v>
      </c>
      <c r="K88" s="2" t="s">
        <v>12</v>
      </c>
      <c r="L88" s="2" t="s">
        <v>99</v>
      </c>
      <c r="M88" s="27">
        <v>65.436499999999995</v>
      </c>
      <c r="N88" s="2">
        <v>10555.999999999998</v>
      </c>
      <c r="O88" s="44" t="s">
        <v>925</v>
      </c>
      <c r="P88" s="3">
        <v>112</v>
      </c>
      <c r="Q88" s="27">
        <v>7328.887999999999</v>
      </c>
      <c r="R88" s="27">
        <v>95275.543999999994</v>
      </c>
      <c r="S88" s="3" t="str">
        <f>IF(Table13[[#This Row],[Indicative carbon footprint /puff (g CO2e) 
Midpoint value7,8]]&gt;=35,"High","Low")</f>
        <v>High</v>
      </c>
      <c r="T88" s="3" t="s">
        <v>734</v>
      </c>
      <c r="U88" s="1">
        <f>Table13[[#This Row],[Number of puffs per 28 days1-4]]*Table13[[#This Row],[Cost/puff 1,5-7]]</f>
        <v>13.048</v>
      </c>
      <c r="V88" s="1">
        <f>Table13[[#This Row],[Indicative cost per 28 days1,5]]*13</f>
        <v>169.624</v>
      </c>
      <c r="W88" s="2" t="s">
        <v>751</v>
      </c>
      <c r="X88" s="1" t="s">
        <v>14</v>
      </c>
      <c r="Y88" s="2" t="s">
        <v>210</v>
      </c>
      <c r="Z88" s="4" t="s">
        <v>327</v>
      </c>
      <c r="AA88" s="2" t="s">
        <v>45</v>
      </c>
      <c r="AB88" s="2" t="s">
        <v>5</v>
      </c>
      <c r="AC88" s="2" t="s">
        <v>29</v>
      </c>
      <c r="AD88" s="44" t="s">
        <v>833</v>
      </c>
      <c r="AE88" s="2">
        <v>175.1</v>
      </c>
      <c r="AF88" s="2">
        <v>61.8</v>
      </c>
      <c r="AG88" s="2">
        <v>26.6</v>
      </c>
      <c r="AH88" s="2">
        <v>103.31</v>
      </c>
      <c r="AI88" s="2">
        <v>421.46</v>
      </c>
      <c r="AJ88" s="2" t="s">
        <v>63</v>
      </c>
      <c r="AK88" s="2" t="s">
        <v>63</v>
      </c>
      <c r="AL88" s="2">
        <v>9.64</v>
      </c>
      <c r="AM88" s="2">
        <v>7852.38</v>
      </c>
      <c r="AN88" s="2">
        <v>2765.69</v>
      </c>
      <c r="AO88" s="2" t="s">
        <v>63</v>
      </c>
      <c r="AP88" s="47" t="s">
        <v>16</v>
      </c>
      <c r="AQ88" s="2" t="s">
        <v>929</v>
      </c>
      <c r="AR88" s="2" t="s">
        <v>768</v>
      </c>
      <c r="AS88" s="2" t="s">
        <v>313</v>
      </c>
    </row>
    <row r="89" spans="1:45" ht="220.5" x14ac:dyDescent="0.25">
      <c r="A89" s="2" t="s">
        <v>765</v>
      </c>
      <c r="B89" s="2" t="s">
        <v>326</v>
      </c>
      <c r="C89" s="2" t="s">
        <v>420</v>
      </c>
      <c r="D89" s="2" t="s">
        <v>18</v>
      </c>
      <c r="E89" s="2" t="s">
        <v>11</v>
      </c>
      <c r="F89" s="2" t="s">
        <v>19</v>
      </c>
      <c r="G89" s="2">
        <v>120</v>
      </c>
      <c r="H89" s="1">
        <v>13.98</v>
      </c>
      <c r="I89" s="1">
        <f t="shared" si="2"/>
        <v>0.11650000000000001</v>
      </c>
      <c r="J89" s="2" t="s">
        <v>12</v>
      </c>
      <c r="K89" s="2" t="s">
        <v>12</v>
      </c>
      <c r="L89" s="2" t="s">
        <v>13</v>
      </c>
      <c r="M89" s="27">
        <v>84.302833333333339</v>
      </c>
      <c r="N89" s="2">
        <v>13376.999999999998</v>
      </c>
      <c r="O89" s="44" t="s">
        <v>925</v>
      </c>
      <c r="P89" s="3">
        <v>112</v>
      </c>
      <c r="Q89" s="27">
        <v>9441.9173333333347</v>
      </c>
      <c r="R89" s="27">
        <v>122744.92533333335</v>
      </c>
      <c r="S89" s="3" t="s">
        <v>766</v>
      </c>
      <c r="T89" s="3" t="s">
        <v>734</v>
      </c>
      <c r="U89" s="1">
        <f>Table13[[#This Row],[Number of puffs per 28 days1-4]]*Table13[[#This Row],[Cost/puff 1,5-7]]</f>
        <v>13.048</v>
      </c>
      <c r="V89" s="1">
        <f>Table13[[#This Row],[Indicative cost per 28 days1,5]]*13</f>
        <v>169.624</v>
      </c>
      <c r="W89" s="2" t="s">
        <v>751</v>
      </c>
      <c r="X89" s="1" t="s">
        <v>14</v>
      </c>
      <c r="Y89" s="2" t="s">
        <v>210</v>
      </c>
      <c r="Z89" s="4" t="s">
        <v>767</v>
      </c>
      <c r="AA89" s="2" t="s">
        <v>45</v>
      </c>
      <c r="AB89" s="2" t="s">
        <v>5</v>
      </c>
      <c r="AC89" s="2" t="s">
        <v>29</v>
      </c>
      <c r="AD89" s="44" t="s">
        <v>833</v>
      </c>
      <c r="AE89" s="2">
        <v>237.68</v>
      </c>
      <c r="AF89" s="2">
        <v>61.77</v>
      </c>
      <c r="AG89" s="2">
        <v>26.58</v>
      </c>
      <c r="AH89" s="2">
        <v>103.31</v>
      </c>
      <c r="AI89" s="2">
        <v>421.46</v>
      </c>
      <c r="AJ89" s="2" t="s">
        <v>63</v>
      </c>
      <c r="AK89" s="2" t="s">
        <v>63</v>
      </c>
      <c r="AL89" s="2">
        <v>10.050000000000001</v>
      </c>
      <c r="AM89" s="2">
        <v>10116.34</v>
      </c>
      <c r="AN89" s="2">
        <v>3326.3</v>
      </c>
      <c r="AO89" s="2" t="s">
        <v>63</v>
      </c>
      <c r="AP89" s="47" t="s">
        <v>16</v>
      </c>
      <c r="AQ89" s="2" t="s">
        <v>929</v>
      </c>
      <c r="AR89" s="2" t="s">
        <v>768</v>
      </c>
      <c r="AS89" s="10" t="s">
        <v>313</v>
      </c>
    </row>
    <row r="90" spans="1:45" x14ac:dyDescent="0.25">
      <c r="A90" s="2" t="s">
        <v>427</v>
      </c>
      <c r="B90" s="2" t="s">
        <v>181</v>
      </c>
      <c r="C90" s="2" t="s">
        <v>428</v>
      </c>
      <c r="D90" s="2" t="s">
        <v>10</v>
      </c>
      <c r="E90" s="2" t="s">
        <v>61</v>
      </c>
      <c r="F90" s="2" t="s">
        <v>19</v>
      </c>
      <c r="G90" s="2">
        <v>120</v>
      </c>
      <c r="H90" s="1">
        <v>29.26</v>
      </c>
      <c r="I90" s="1">
        <f t="shared" si="2"/>
        <v>0.24383333333333335</v>
      </c>
      <c r="J90" s="2" t="s">
        <v>37</v>
      </c>
      <c r="K90" s="2" t="s">
        <v>37</v>
      </c>
      <c r="L90" s="2" t="s">
        <v>5</v>
      </c>
      <c r="M90" s="2">
        <v>130</v>
      </c>
      <c r="N90" s="2">
        <f>Table13[[#This Row],[Doses per inhaler1,2]]*Table13[[#This Row],[Indicative carbon footprint /puff (g CO2e) 
Midpoint value7,8]]</f>
        <v>15600</v>
      </c>
      <c r="O90" s="10" t="s">
        <v>676</v>
      </c>
      <c r="P90" s="3">
        <v>112</v>
      </c>
      <c r="Q90" s="3">
        <f>Table13[[#This Row],[Indicative carbon footprint /puff (g CO2e) 
Midpoint value7,8]]*Table13[[#This Row],[Number of puffs per 28 days1-4]]</f>
        <v>14560</v>
      </c>
      <c r="R90" s="26">
        <f>13*Table13[[#This Row],[Indicative carbon footprint per 28 days (g CO2e)]]</f>
        <v>189280</v>
      </c>
      <c r="S90" s="3" t="str">
        <f>IF(Table13[[#This Row],[Indicative carbon footprint /puff (g CO2e) 
Midpoint value7,8]]&gt;=35,"High","Low")</f>
        <v>High</v>
      </c>
      <c r="T90" s="3"/>
      <c r="U90" s="1">
        <f>Table13[[#This Row],[Number of puffs per 28 days1-4]]*Table13[[#This Row],[Cost/puff 1,5-7]]</f>
        <v>27.309333333333335</v>
      </c>
      <c r="V90" s="1">
        <f>Table13[[#This Row],[Indicative cost per 28 days1,5]]*13</f>
        <v>355.02133333333336</v>
      </c>
      <c r="X90" s="1" t="s">
        <v>7</v>
      </c>
      <c r="Y90" s="2" t="s">
        <v>210</v>
      </c>
      <c r="Z90" s="4" t="s">
        <v>182</v>
      </c>
      <c r="AD90" s="2" t="s">
        <v>63</v>
      </c>
      <c r="AE90" s="2" t="s">
        <v>63</v>
      </c>
      <c r="AF90" s="2" t="s">
        <v>63</v>
      </c>
      <c r="AG90" s="2" t="s">
        <v>63</v>
      </c>
      <c r="AH90" s="2" t="s">
        <v>63</v>
      </c>
      <c r="AI90" s="2" t="s">
        <v>63</v>
      </c>
      <c r="AJ90" s="2" t="s">
        <v>63</v>
      </c>
      <c r="AK90" s="2" t="s">
        <v>63</v>
      </c>
      <c r="AL90" s="2" t="s">
        <v>63</v>
      </c>
      <c r="AM90" s="2" t="s">
        <v>63</v>
      </c>
      <c r="AN90" s="2" t="s">
        <v>63</v>
      </c>
      <c r="AO90" s="2" t="s">
        <v>63</v>
      </c>
      <c r="AP90" s="2" t="s">
        <v>63</v>
      </c>
      <c r="AQ90" s="2" t="s">
        <v>63</v>
      </c>
      <c r="AR90" s="2" t="s">
        <v>63</v>
      </c>
      <c r="AS90" s="2">
        <v>130</v>
      </c>
    </row>
    <row r="91" spans="1:45" ht="30" x14ac:dyDescent="0.25">
      <c r="A91" s="2" t="s">
        <v>429</v>
      </c>
      <c r="B91" s="2" t="s">
        <v>155</v>
      </c>
      <c r="C91" s="2" t="s">
        <v>485</v>
      </c>
      <c r="D91" s="2" t="s">
        <v>43</v>
      </c>
      <c r="E91" s="2" t="s">
        <v>61</v>
      </c>
      <c r="F91" s="2" t="s">
        <v>6</v>
      </c>
      <c r="G91" s="2">
        <v>30</v>
      </c>
      <c r="H91" s="1">
        <v>32.19</v>
      </c>
      <c r="I91" s="1">
        <f t="shared" si="2"/>
        <v>1.073</v>
      </c>
      <c r="J91" s="2" t="s">
        <v>12</v>
      </c>
      <c r="K91" s="2" t="s">
        <v>12</v>
      </c>
      <c r="L91" s="2" t="s">
        <v>5</v>
      </c>
      <c r="M91" s="2">
        <v>18.75</v>
      </c>
      <c r="N91" s="2">
        <f>Table13[[#This Row],[Doses per inhaler1,2]]*Table13[[#This Row],[Indicative carbon footprint /puff (g CO2e) 
Midpoint value7,8]]</f>
        <v>562.5</v>
      </c>
      <c r="O91" s="10" t="s">
        <v>676</v>
      </c>
      <c r="P91" s="3">
        <v>28</v>
      </c>
      <c r="Q91" s="3">
        <f>Table13[[#This Row],[Indicative carbon footprint /puff (g CO2e) 
Midpoint value7,8]]*Table13[[#This Row],[Number of puffs per 28 days1-4]]</f>
        <v>525</v>
      </c>
      <c r="R91" s="26">
        <f>13*Table13[[#This Row],[Indicative carbon footprint per 28 days (g CO2e)]]</f>
        <v>6825</v>
      </c>
      <c r="S91" s="3" t="str">
        <f>IF(Table13[[#This Row],[Indicative carbon footprint /puff (g CO2e) 
Midpoint value7,8]]&gt;=35,"High","Low")</f>
        <v>Low</v>
      </c>
      <c r="T91" s="3"/>
      <c r="U91" s="1">
        <f>Table13[[#This Row],[Number of puffs per 28 days1-4]]*Table13[[#This Row],[Cost/puff 1,5-7]]</f>
        <v>30.043999999999997</v>
      </c>
      <c r="V91" s="1">
        <f>Table13[[#This Row],[Indicative cost per 28 days1,5]]*13</f>
        <v>390.57199999999995</v>
      </c>
      <c r="X91" s="1" t="s">
        <v>7</v>
      </c>
      <c r="Y91" s="2" t="s">
        <v>5</v>
      </c>
      <c r="Z91" s="4" t="s">
        <v>183</v>
      </c>
      <c r="AB91" s="2" t="s">
        <v>17</v>
      </c>
      <c r="AC91" s="9" t="s">
        <v>5</v>
      </c>
      <c r="AD91" s="2" t="s">
        <v>63</v>
      </c>
      <c r="AE91" s="2" t="s">
        <v>63</v>
      </c>
      <c r="AF91" s="2" t="s">
        <v>63</v>
      </c>
      <c r="AG91" s="2" t="s">
        <v>63</v>
      </c>
      <c r="AH91" s="2" t="s">
        <v>63</v>
      </c>
      <c r="AI91" s="2" t="s">
        <v>63</v>
      </c>
      <c r="AJ91" s="2" t="s">
        <v>63</v>
      </c>
      <c r="AK91" s="2" t="s">
        <v>63</v>
      </c>
      <c r="AL91" s="2" t="s">
        <v>63</v>
      </c>
      <c r="AM91" s="2" t="s">
        <v>63</v>
      </c>
      <c r="AN91" s="2" t="s">
        <v>63</v>
      </c>
      <c r="AO91" s="2" t="s">
        <v>63</v>
      </c>
      <c r="AP91" s="2" t="s">
        <v>63</v>
      </c>
      <c r="AQ91" s="2" t="s">
        <v>63</v>
      </c>
      <c r="AR91" s="2" t="s">
        <v>63</v>
      </c>
      <c r="AS91" s="2" t="s">
        <v>310</v>
      </c>
    </row>
    <row r="92" spans="1:45" ht="30" x14ac:dyDescent="0.25">
      <c r="A92" s="2" t="s">
        <v>430</v>
      </c>
      <c r="B92" s="2" t="s">
        <v>155</v>
      </c>
      <c r="C92" s="2" t="s">
        <v>484</v>
      </c>
      <c r="D92" s="2" t="s">
        <v>43</v>
      </c>
      <c r="E92" s="2" t="s">
        <v>61</v>
      </c>
      <c r="F92" s="2" t="s">
        <v>6</v>
      </c>
      <c r="G92" s="2">
        <v>30</v>
      </c>
      <c r="H92" s="1">
        <v>32.19</v>
      </c>
      <c r="I92" s="1">
        <f t="shared" si="2"/>
        <v>1.073</v>
      </c>
      <c r="J92" s="2" t="s">
        <v>12</v>
      </c>
      <c r="K92" s="2" t="s">
        <v>12</v>
      </c>
      <c r="L92" s="2" t="s">
        <v>5</v>
      </c>
      <c r="M92" s="2">
        <v>18.75</v>
      </c>
      <c r="N92" s="2">
        <f>Table13[[#This Row],[Doses per inhaler1,2]]*Table13[[#This Row],[Indicative carbon footprint /puff (g CO2e) 
Midpoint value7,8]]</f>
        <v>562.5</v>
      </c>
      <c r="O92" s="10" t="s">
        <v>676</v>
      </c>
      <c r="P92" s="3">
        <v>28</v>
      </c>
      <c r="Q92" s="3">
        <f>Table13[[#This Row],[Indicative carbon footprint /puff (g CO2e) 
Midpoint value7,8]]*Table13[[#This Row],[Number of puffs per 28 days1-4]]</f>
        <v>525</v>
      </c>
      <c r="R92" s="26">
        <f>13*Table13[[#This Row],[Indicative carbon footprint per 28 days (g CO2e)]]</f>
        <v>6825</v>
      </c>
      <c r="S92" s="3" t="str">
        <f>IF(Table13[[#This Row],[Indicative carbon footprint /puff (g CO2e) 
Midpoint value7,8]]&gt;=35,"High","Low")</f>
        <v>Low</v>
      </c>
      <c r="T92" s="3"/>
      <c r="U92" s="1">
        <f>Table13[[#This Row],[Number of puffs per 28 days1-4]]*Table13[[#This Row],[Cost/puff 1,5-7]]</f>
        <v>30.043999999999997</v>
      </c>
      <c r="V92" s="1">
        <f>Table13[[#This Row],[Indicative cost per 28 days1,5]]*13</f>
        <v>390.57199999999995</v>
      </c>
      <c r="X92" s="1" t="s">
        <v>7</v>
      </c>
      <c r="Y92" s="2" t="s">
        <v>5</v>
      </c>
      <c r="Z92" s="4" t="s">
        <v>184</v>
      </c>
      <c r="AB92" s="2" t="s">
        <v>17</v>
      </c>
      <c r="AC92" s="9" t="s">
        <v>5</v>
      </c>
      <c r="AD92" s="2" t="s">
        <v>63</v>
      </c>
      <c r="AE92" s="2" t="s">
        <v>63</v>
      </c>
      <c r="AF92" s="2" t="s">
        <v>63</v>
      </c>
      <c r="AG92" s="2" t="s">
        <v>63</v>
      </c>
      <c r="AH92" s="2" t="s">
        <v>63</v>
      </c>
      <c r="AI92" s="2" t="s">
        <v>63</v>
      </c>
      <c r="AJ92" s="2" t="s">
        <v>63</v>
      </c>
      <c r="AK92" s="2" t="s">
        <v>63</v>
      </c>
      <c r="AL92" s="2" t="s">
        <v>63</v>
      </c>
      <c r="AM92" s="2" t="s">
        <v>63</v>
      </c>
      <c r="AN92" s="2" t="s">
        <v>63</v>
      </c>
      <c r="AO92" s="2" t="s">
        <v>63</v>
      </c>
      <c r="AP92" s="2" t="s">
        <v>63</v>
      </c>
      <c r="AQ92" s="2" t="s">
        <v>63</v>
      </c>
      <c r="AR92" s="2" t="s">
        <v>63</v>
      </c>
      <c r="AS92" s="2" t="s">
        <v>310</v>
      </c>
    </row>
    <row r="93" spans="1:45" ht="60" x14ac:dyDescent="0.25">
      <c r="A93" s="2" t="s">
        <v>431</v>
      </c>
      <c r="B93" s="2" t="s">
        <v>35</v>
      </c>
      <c r="C93" s="2" t="s">
        <v>392</v>
      </c>
      <c r="D93" s="2" t="s">
        <v>10</v>
      </c>
      <c r="E93" s="2" t="s">
        <v>61</v>
      </c>
      <c r="F93" s="2" t="s">
        <v>6</v>
      </c>
      <c r="G93" s="2">
        <v>60</v>
      </c>
      <c r="H93" s="1">
        <v>24.8</v>
      </c>
      <c r="I93" s="1">
        <f t="shared" si="2"/>
        <v>0.41333333333333333</v>
      </c>
      <c r="J93" s="2" t="s">
        <v>76</v>
      </c>
      <c r="K93" s="2" t="s">
        <v>199</v>
      </c>
      <c r="L93" s="2" t="s">
        <v>5</v>
      </c>
      <c r="M93" s="2">
        <v>6.17</v>
      </c>
      <c r="N93" s="2">
        <f>Table13[[#This Row],[Doses per inhaler1,2]]*Table13[[#This Row],[Indicative carbon footprint /puff (g CO2e) 
Midpoint value7,8]]</f>
        <v>370.2</v>
      </c>
      <c r="O93" s="10" t="s">
        <v>671</v>
      </c>
      <c r="P93" s="3">
        <v>56</v>
      </c>
      <c r="Q93" s="3">
        <f>Table13[[#This Row],[Indicative carbon footprint /puff (g CO2e) 
Midpoint value7,8]]*Table13[[#This Row],[Number of puffs per 28 days1-4]]</f>
        <v>345.52</v>
      </c>
      <c r="R93" s="26">
        <f>13*Table13[[#This Row],[Indicative carbon footprint per 28 days (g CO2e)]]</f>
        <v>4491.76</v>
      </c>
      <c r="S93" s="3" t="str">
        <f>IF(Table13[[#This Row],[Indicative carbon footprint /puff (g CO2e) 
Midpoint value7,8]]&gt;=35,"High","Low")</f>
        <v>Low</v>
      </c>
      <c r="T93" s="3"/>
      <c r="U93" s="1">
        <f>Table13[[#This Row],[Number of puffs per 28 days1-4]]*Table13[[#This Row],[Cost/puff 1,5-7]]</f>
        <v>23.146666666666668</v>
      </c>
      <c r="V93" s="1">
        <f>Table13[[#This Row],[Indicative cost per 28 days1,5]]*13</f>
        <v>300.90666666666669</v>
      </c>
      <c r="X93" s="1" t="s">
        <v>14</v>
      </c>
      <c r="Y93" s="2" t="s">
        <v>5</v>
      </c>
      <c r="Z93" s="4" t="s">
        <v>200</v>
      </c>
      <c r="AB93" s="2" t="s">
        <v>17</v>
      </c>
      <c r="AC93" s="9" t="s">
        <v>5</v>
      </c>
      <c r="AD93" s="2" t="s">
        <v>295</v>
      </c>
      <c r="AE93" s="2" t="s">
        <v>63</v>
      </c>
      <c r="AF93" s="2" t="s">
        <v>63</v>
      </c>
      <c r="AG93" s="2" t="s">
        <v>63</v>
      </c>
      <c r="AH93" s="2" t="s">
        <v>63</v>
      </c>
      <c r="AI93" s="2" t="s">
        <v>63</v>
      </c>
      <c r="AJ93" s="2" t="s">
        <v>63</v>
      </c>
      <c r="AK93" s="2" t="s">
        <v>63</v>
      </c>
      <c r="AL93" s="2" t="s">
        <v>63</v>
      </c>
      <c r="AM93" s="2" t="s">
        <v>63</v>
      </c>
      <c r="AN93" s="2" t="s">
        <v>63</v>
      </c>
      <c r="AO93" s="2" t="s">
        <v>63</v>
      </c>
      <c r="AP93" s="2" t="s">
        <v>63</v>
      </c>
      <c r="AQ93" s="2" t="s">
        <v>63</v>
      </c>
      <c r="AR93" s="2" t="s">
        <v>63</v>
      </c>
      <c r="AS93" s="2" t="s">
        <v>310</v>
      </c>
    </row>
    <row r="94" spans="1:45" ht="60" x14ac:dyDescent="0.25">
      <c r="A94" s="2" t="s">
        <v>432</v>
      </c>
      <c r="B94" s="2" t="s">
        <v>35</v>
      </c>
      <c r="C94" s="2" t="s">
        <v>433</v>
      </c>
      <c r="D94" s="2" t="s">
        <v>10</v>
      </c>
      <c r="E94" s="2" t="s">
        <v>61</v>
      </c>
      <c r="F94" s="2" t="s">
        <v>6</v>
      </c>
      <c r="G94" s="2">
        <v>60</v>
      </c>
      <c r="H94" s="1">
        <v>24.8</v>
      </c>
      <c r="I94" s="1">
        <f t="shared" ref="I94:I125" si="3">H94/G94</f>
        <v>0.41333333333333333</v>
      </c>
      <c r="J94" s="2" t="s">
        <v>76</v>
      </c>
      <c r="K94" s="2" t="s">
        <v>199</v>
      </c>
      <c r="L94" s="2" t="s">
        <v>5</v>
      </c>
      <c r="M94" s="2">
        <v>6</v>
      </c>
      <c r="N94" s="2">
        <f>Table13[[#This Row],[Doses per inhaler1,2]]*Table13[[#This Row],[Indicative carbon footprint /puff (g CO2e) 
Midpoint value7,8]]</f>
        <v>360</v>
      </c>
      <c r="O94" s="10" t="s">
        <v>671</v>
      </c>
      <c r="P94" s="3">
        <v>56</v>
      </c>
      <c r="Q94" s="3">
        <f>Table13[[#This Row],[Indicative carbon footprint /puff (g CO2e) 
Midpoint value7,8]]*Table13[[#This Row],[Number of puffs per 28 days1-4]]</f>
        <v>336</v>
      </c>
      <c r="R94" s="26">
        <f>13*Table13[[#This Row],[Indicative carbon footprint per 28 days (g CO2e)]]</f>
        <v>4368</v>
      </c>
      <c r="S94" s="3" t="str">
        <f>IF(Table13[[#This Row],[Indicative carbon footprint /puff (g CO2e) 
Midpoint value7,8]]&gt;=35,"High","Low")</f>
        <v>Low</v>
      </c>
      <c r="T94" s="3"/>
      <c r="U94" s="1">
        <f>Table13[[#This Row],[Number of puffs per 28 days1-4]]*Table13[[#This Row],[Cost/puff 1,5-7]]</f>
        <v>23.146666666666668</v>
      </c>
      <c r="V94" s="1">
        <f>Table13[[#This Row],[Indicative cost per 28 days1,5]]*13</f>
        <v>300.90666666666669</v>
      </c>
      <c r="X94" s="1" t="s">
        <v>14</v>
      </c>
      <c r="Y94" s="2" t="s">
        <v>5</v>
      </c>
      <c r="Z94" s="4" t="s">
        <v>201</v>
      </c>
      <c r="AB94" s="2" t="s">
        <v>17</v>
      </c>
      <c r="AC94" s="9" t="s">
        <v>5</v>
      </c>
      <c r="AD94" s="2" t="s">
        <v>295</v>
      </c>
      <c r="AE94" s="2" t="s">
        <v>63</v>
      </c>
      <c r="AF94" s="2" t="s">
        <v>63</v>
      </c>
      <c r="AG94" s="2" t="s">
        <v>63</v>
      </c>
      <c r="AH94" s="2" t="s">
        <v>63</v>
      </c>
      <c r="AI94" s="2" t="s">
        <v>63</v>
      </c>
      <c r="AJ94" s="2" t="s">
        <v>63</v>
      </c>
      <c r="AK94" s="2" t="s">
        <v>63</v>
      </c>
      <c r="AL94" s="2" t="s">
        <v>63</v>
      </c>
      <c r="AM94" s="2" t="s">
        <v>63</v>
      </c>
      <c r="AN94" s="2" t="s">
        <v>63</v>
      </c>
      <c r="AO94" s="2" t="s">
        <v>63</v>
      </c>
      <c r="AP94" s="2" t="s">
        <v>63</v>
      </c>
      <c r="AQ94" s="2" t="s">
        <v>63</v>
      </c>
      <c r="AR94" s="2" t="s">
        <v>63</v>
      </c>
      <c r="AS94" s="2" t="s">
        <v>310</v>
      </c>
    </row>
    <row r="95" spans="1:45" ht="60" x14ac:dyDescent="0.25">
      <c r="A95" s="2" t="s">
        <v>434</v>
      </c>
      <c r="B95" s="2" t="s">
        <v>35</v>
      </c>
      <c r="C95" s="2" t="s">
        <v>386</v>
      </c>
      <c r="D95" s="2" t="s">
        <v>18</v>
      </c>
      <c r="E95" s="2" t="s">
        <v>36</v>
      </c>
      <c r="F95" s="2" t="s">
        <v>6</v>
      </c>
      <c r="G95" s="2">
        <v>200</v>
      </c>
      <c r="H95" s="1">
        <v>14.25</v>
      </c>
      <c r="I95" s="1">
        <f t="shared" si="3"/>
        <v>7.1249999999999994E-2</v>
      </c>
      <c r="J95" s="2" t="s">
        <v>122</v>
      </c>
      <c r="K95" s="2" t="s">
        <v>205</v>
      </c>
      <c r="L95" s="2" t="s">
        <v>5</v>
      </c>
      <c r="M95" s="2">
        <v>7</v>
      </c>
      <c r="N95" s="2">
        <f>Table13[[#This Row],[Doses per inhaler1,2]]*Table13[[#This Row],[Indicative carbon footprint /puff (g CO2e) 
Midpoint value7,8]]</f>
        <v>1400</v>
      </c>
      <c r="O95" s="10" t="s">
        <v>671</v>
      </c>
      <c r="P95" s="3">
        <v>56</v>
      </c>
      <c r="Q95" s="3">
        <f>Table13[[#This Row],[Indicative carbon footprint /puff (g CO2e) 
Midpoint value7,8]]*Table13[[#This Row],[Number of puffs per 28 days1-4]]</f>
        <v>392</v>
      </c>
      <c r="R95" s="3">
        <f>13*Table13[[#This Row],[Indicative carbon footprint per 28 days (g CO2e)]]</f>
        <v>5096</v>
      </c>
      <c r="S95" s="3" t="str">
        <f>IF(Table13[[#This Row],[Indicative carbon footprint /puff (g CO2e) 
Midpoint value7,8]]&gt;=35,"High","Low")</f>
        <v>Low</v>
      </c>
      <c r="T95" s="3"/>
      <c r="U95" s="1">
        <f>Table13[[#This Row],[Number of puffs per 28 days1-4]]*Table13[[#This Row],[Cost/puff 1,5-7]]</f>
        <v>3.9899999999999998</v>
      </c>
      <c r="V95" s="1">
        <f>Table13[[#This Row],[Indicative cost per 28 days1,5]]*13</f>
        <v>51.87</v>
      </c>
      <c r="X95" s="1" t="s">
        <v>14</v>
      </c>
      <c r="Y95" s="2" t="s">
        <v>5</v>
      </c>
      <c r="Z95" s="4" t="s">
        <v>206</v>
      </c>
      <c r="AB95" s="2" t="s">
        <v>17</v>
      </c>
      <c r="AC95" s="9" t="s">
        <v>5</v>
      </c>
      <c r="AD95" s="2" t="s">
        <v>295</v>
      </c>
      <c r="AE95" s="2" t="s">
        <v>63</v>
      </c>
      <c r="AF95" s="2" t="s">
        <v>63</v>
      </c>
      <c r="AG95" s="2" t="s">
        <v>63</v>
      </c>
      <c r="AH95" s="2" t="s">
        <v>63</v>
      </c>
      <c r="AI95" s="2" t="s">
        <v>63</v>
      </c>
      <c r="AJ95" s="2" t="s">
        <v>63</v>
      </c>
      <c r="AK95" s="2" t="s">
        <v>63</v>
      </c>
      <c r="AL95" s="2" t="s">
        <v>63</v>
      </c>
      <c r="AM95" s="2" t="s">
        <v>63</v>
      </c>
      <c r="AN95" s="2" t="s">
        <v>63</v>
      </c>
      <c r="AO95" s="2" t="s">
        <v>63</v>
      </c>
      <c r="AP95" s="2" t="s">
        <v>63</v>
      </c>
      <c r="AQ95" s="2" t="s">
        <v>63</v>
      </c>
      <c r="AR95" s="2" t="s">
        <v>63</v>
      </c>
      <c r="AS95" s="2" t="s">
        <v>310</v>
      </c>
    </row>
    <row r="96" spans="1:45" ht="60" x14ac:dyDescent="0.25">
      <c r="A96" s="2" t="s">
        <v>435</v>
      </c>
      <c r="B96" s="2" t="s">
        <v>35</v>
      </c>
      <c r="C96" s="2" t="s">
        <v>388</v>
      </c>
      <c r="D96" s="2" t="s">
        <v>18</v>
      </c>
      <c r="E96" s="2" t="s">
        <v>36</v>
      </c>
      <c r="F96" s="2" t="s">
        <v>6</v>
      </c>
      <c r="G96" s="2">
        <v>100</v>
      </c>
      <c r="H96" s="1">
        <v>14.25</v>
      </c>
      <c r="I96" s="1">
        <f t="shared" si="3"/>
        <v>0.14249999999999999</v>
      </c>
      <c r="J96" s="2" t="s">
        <v>122</v>
      </c>
      <c r="K96" s="2" t="s">
        <v>205</v>
      </c>
      <c r="L96" s="2" t="s">
        <v>5</v>
      </c>
      <c r="M96" s="2">
        <v>14</v>
      </c>
      <c r="N96" s="2">
        <f>Table13[[#This Row],[Doses per inhaler1,2]]*Table13[[#This Row],[Indicative carbon footprint /puff (g CO2e) 
Midpoint value7,8]]</f>
        <v>1400</v>
      </c>
      <c r="O96" s="10" t="s">
        <v>671</v>
      </c>
      <c r="P96" s="3">
        <v>56</v>
      </c>
      <c r="Q96" s="3">
        <f>Table13[[#This Row],[Indicative carbon footprint /puff (g CO2e) 
Midpoint value7,8]]*Table13[[#This Row],[Number of puffs per 28 days1-4]]</f>
        <v>784</v>
      </c>
      <c r="R96" s="3">
        <f>13*Table13[[#This Row],[Indicative carbon footprint per 28 days (g CO2e)]]</f>
        <v>10192</v>
      </c>
      <c r="S96" s="3" t="str">
        <f>IF(Table13[[#This Row],[Indicative carbon footprint /puff (g CO2e) 
Midpoint value7,8]]&gt;=35,"High","Low")</f>
        <v>Low</v>
      </c>
      <c r="T96" s="3"/>
      <c r="U96" s="1">
        <f>Table13[[#This Row],[Number of puffs per 28 days1-4]]*Table13[[#This Row],[Cost/puff 1,5-7]]</f>
        <v>7.9799999999999995</v>
      </c>
      <c r="V96" s="1">
        <f>Table13[[#This Row],[Indicative cost per 28 days1,5]]*13</f>
        <v>103.74</v>
      </c>
      <c r="X96" s="1" t="s">
        <v>14</v>
      </c>
      <c r="Y96" s="2" t="s">
        <v>5</v>
      </c>
      <c r="Z96" s="4" t="s">
        <v>207</v>
      </c>
      <c r="AB96" s="2" t="s">
        <v>17</v>
      </c>
      <c r="AC96" s="9" t="s">
        <v>5</v>
      </c>
      <c r="AD96" s="2" t="s">
        <v>295</v>
      </c>
      <c r="AE96" s="2" t="s">
        <v>63</v>
      </c>
      <c r="AF96" s="2" t="s">
        <v>63</v>
      </c>
      <c r="AG96" s="2" t="s">
        <v>63</v>
      </c>
      <c r="AH96" s="2" t="s">
        <v>63</v>
      </c>
      <c r="AI96" s="2" t="s">
        <v>63</v>
      </c>
      <c r="AJ96" s="2" t="s">
        <v>63</v>
      </c>
      <c r="AK96" s="2" t="s">
        <v>63</v>
      </c>
      <c r="AL96" s="2" t="s">
        <v>63</v>
      </c>
      <c r="AM96" s="2" t="s">
        <v>63</v>
      </c>
      <c r="AN96" s="2" t="s">
        <v>63</v>
      </c>
      <c r="AO96" s="2" t="s">
        <v>63</v>
      </c>
      <c r="AP96" s="2" t="s">
        <v>63</v>
      </c>
      <c r="AQ96" s="2" t="s">
        <v>63</v>
      </c>
      <c r="AR96" s="2" t="s">
        <v>63</v>
      </c>
      <c r="AS96" s="2" t="s">
        <v>310</v>
      </c>
    </row>
    <row r="97" spans="1:45" ht="60" x14ac:dyDescent="0.25">
      <c r="A97" s="2" t="s">
        <v>436</v>
      </c>
      <c r="B97" s="2" t="s">
        <v>35</v>
      </c>
      <c r="C97" s="2" t="s">
        <v>390</v>
      </c>
      <c r="D97" s="2" t="s">
        <v>18</v>
      </c>
      <c r="E97" s="2" t="s">
        <v>36</v>
      </c>
      <c r="F97" s="2" t="s">
        <v>6</v>
      </c>
      <c r="G97" s="2">
        <v>50</v>
      </c>
      <c r="H97" s="1">
        <v>14.25</v>
      </c>
      <c r="I97" s="1">
        <f t="shared" si="3"/>
        <v>0.28499999999999998</v>
      </c>
      <c r="J97" s="2" t="s">
        <v>122</v>
      </c>
      <c r="K97" s="2" t="s">
        <v>205</v>
      </c>
      <c r="L97" s="2" t="s">
        <v>5</v>
      </c>
      <c r="M97" s="3">
        <f>Table13[[#This Row],[Indicative carbon footprint /inhaler (g CO2e) 
Midpoint value7,8]]/Table13[[#This Row],[Doses per inhaler1,2]]</f>
        <v>34</v>
      </c>
      <c r="N97" s="2">
        <v>1700</v>
      </c>
      <c r="O97" s="10" t="s">
        <v>671</v>
      </c>
      <c r="P97" s="3">
        <v>56</v>
      </c>
      <c r="Q97" s="3">
        <f>Table13[[#This Row],[Indicative carbon footprint /puff (g CO2e) 
Midpoint value7,8]]*Table13[[#This Row],[Number of puffs per 28 days1-4]]</f>
        <v>1904</v>
      </c>
      <c r="R97" s="3">
        <f>13*Table13[[#This Row],[Indicative carbon footprint per 28 days (g CO2e)]]</f>
        <v>24752</v>
      </c>
      <c r="S97" s="3" t="str">
        <f>IF(Table13[[#This Row],[Indicative carbon footprint /puff (g CO2e) 
Midpoint value7,8]]&gt;=35,"High","Low")</f>
        <v>Low</v>
      </c>
      <c r="T97" s="3"/>
      <c r="U97" s="1">
        <f>Table13[[#This Row],[Number of puffs per 28 days1-4]]*Table13[[#This Row],[Cost/puff 1,5-7]]</f>
        <v>15.959999999999999</v>
      </c>
      <c r="V97" s="1">
        <f>Table13[[#This Row],[Indicative cost per 28 days1,5]]*13</f>
        <v>207.48</v>
      </c>
      <c r="X97" s="1" t="s">
        <v>14</v>
      </c>
      <c r="Y97" s="2" t="s">
        <v>5</v>
      </c>
      <c r="Z97" s="4" t="s">
        <v>208</v>
      </c>
      <c r="AB97" s="2" t="s">
        <v>17</v>
      </c>
      <c r="AC97" s="9" t="s">
        <v>5</v>
      </c>
      <c r="AD97" s="2" t="s">
        <v>295</v>
      </c>
      <c r="AE97" s="2" t="s">
        <v>63</v>
      </c>
      <c r="AF97" s="2" t="s">
        <v>63</v>
      </c>
      <c r="AG97" s="2" t="s">
        <v>63</v>
      </c>
      <c r="AH97" s="2" t="s">
        <v>63</v>
      </c>
      <c r="AI97" s="2" t="s">
        <v>63</v>
      </c>
      <c r="AJ97" s="2" t="s">
        <v>63</v>
      </c>
      <c r="AK97" s="2" t="s">
        <v>63</v>
      </c>
      <c r="AL97" s="2" t="s">
        <v>63</v>
      </c>
      <c r="AM97" s="2" t="s">
        <v>63</v>
      </c>
      <c r="AN97" s="2" t="s">
        <v>63</v>
      </c>
      <c r="AO97" s="2" t="s">
        <v>63</v>
      </c>
      <c r="AP97" s="2" t="s">
        <v>63</v>
      </c>
      <c r="AQ97" s="2" t="s">
        <v>63</v>
      </c>
      <c r="AR97" s="2" t="s">
        <v>63</v>
      </c>
      <c r="AS97" s="2" t="s">
        <v>310</v>
      </c>
    </row>
    <row r="98" spans="1:45" ht="45" x14ac:dyDescent="0.25">
      <c r="A98" s="2" t="s">
        <v>437</v>
      </c>
      <c r="B98" s="2" t="s">
        <v>23</v>
      </c>
      <c r="C98" s="2" t="s">
        <v>368</v>
      </c>
      <c r="D98" s="2" t="s">
        <v>18</v>
      </c>
      <c r="E98" s="2" t="s">
        <v>36</v>
      </c>
      <c r="F98" s="2" t="s">
        <v>19</v>
      </c>
      <c r="G98" s="2">
        <v>200</v>
      </c>
      <c r="H98" s="1">
        <v>17.21</v>
      </c>
      <c r="I98" s="1">
        <f t="shared" si="3"/>
        <v>8.6050000000000001E-2</v>
      </c>
      <c r="J98" s="2" t="s">
        <v>122</v>
      </c>
      <c r="K98" s="2" t="s">
        <v>37</v>
      </c>
      <c r="L98" s="2" t="s">
        <v>5</v>
      </c>
      <c r="M98" s="2">
        <v>101.75</v>
      </c>
      <c r="N98" s="2">
        <f>Table13[[#This Row],[Doses per inhaler1,2]]*Table13[[#This Row],[Indicative carbon footprint /puff (g CO2e) 
Midpoint value7,8]]</f>
        <v>20350</v>
      </c>
      <c r="O98" s="10" t="s">
        <v>672</v>
      </c>
      <c r="P98" s="3">
        <v>56</v>
      </c>
      <c r="Q98" s="3">
        <f>Table13[[#This Row],[Indicative carbon footprint /puff (g CO2e) 
Midpoint value7,8]]*Table13[[#This Row],[Number of puffs per 28 days1-4]]</f>
        <v>5698</v>
      </c>
      <c r="R98" s="3">
        <f>13*Table13[[#This Row],[Indicative carbon footprint per 28 days (g CO2e)]]</f>
        <v>74074</v>
      </c>
      <c r="S98" s="3" t="str">
        <f>IF(Table13[[#This Row],[Indicative carbon footprint /puff (g CO2e) 
Midpoint value7,8]]&gt;=35,"High","Low")</f>
        <v>High</v>
      </c>
      <c r="T98" s="3"/>
      <c r="U98" s="1">
        <f>Table13[[#This Row],[Number of puffs per 28 days1-4]]*Table13[[#This Row],[Cost/puff 1,5-7]]</f>
        <v>4.8188000000000004</v>
      </c>
      <c r="V98" s="1">
        <f>Table13[[#This Row],[Indicative cost per 28 days1,5]]*13</f>
        <v>62.644400000000005</v>
      </c>
      <c r="W98" s="2" t="s">
        <v>209</v>
      </c>
      <c r="X98" s="1" t="s">
        <v>7</v>
      </c>
      <c r="Y98" s="2" t="s">
        <v>210</v>
      </c>
      <c r="Z98" s="4" t="s">
        <v>211</v>
      </c>
      <c r="AC98" s="2" t="s">
        <v>29</v>
      </c>
      <c r="AD98" s="2" t="s">
        <v>30</v>
      </c>
      <c r="AE98" s="2" t="s">
        <v>63</v>
      </c>
      <c r="AF98" s="2" t="s">
        <v>63</v>
      </c>
      <c r="AG98" s="2" t="s">
        <v>63</v>
      </c>
      <c r="AH98" s="2" t="s">
        <v>63</v>
      </c>
      <c r="AI98" s="2" t="s">
        <v>63</v>
      </c>
      <c r="AJ98" s="2" t="s">
        <v>63</v>
      </c>
      <c r="AK98" s="2" t="s">
        <v>63</v>
      </c>
      <c r="AL98" s="2" t="s">
        <v>63</v>
      </c>
      <c r="AM98" s="2" t="s">
        <v>63</v>
      </c>
      <c r="AN98" s="2" t="s">
        <v>63</v>
      </c>
      <c r="AO98" s="2" t="s">
        <v>63</v>
      </c>
      <c r="AP98" s="2" t="s">
        <v>63</v>
      </c>
      <c r="AQ98" s="2" t="s">
        <v>63</v>
      </c>
      <c r="AR98" s="2" t="s">
        <v>63</v>
      </c>
      <c r="AS98" s="2" t="s">
        <v>312</v>
      </c>
    </row>
    <row r="99" spans="1:45" ht="45" x14ac:dyDescent="0.25">
      <c r="A99" s="2" t="s">
        <v>438</v>
      </c>
      <c r="B99" s="2" t="s">
        <v>23</v>
      </c>
      <c r="C99" s="2" t="s">
        <v>374</v>
      </c>
      <c r="D99" s="2" t="s">
        <v>18</v>
      </c>
      <c r="E99" s="2" t="s">
        <v>36</v>
      </c>
      <c r="F99" s="2" t="s">
        <v>19</v>
      </c>
      <c r="G99" s="2">
        <v>200</v>
      </c>
      <c r="H99" s="1">
        <v>7.87</v>
      </c>
      <c r="I99" s="1">
        <f t="shared" si="3"/>
        <v>3.9350000000000003E-2</v>
      </c>
      <c r="J99" s="2" t="s">
        <v>122</v>
      </c>
      <c r="K99" s="2" t="s">
        <v>37</v>
      </c>
      <c r="L99" s="2" t="s">
        <v>5</v>
      </c>
      <c r="M99" s="2">
        <v>101.75</v>
      </c>
      <c r="N99" s="2">
        <f>Table13[[#This Row],[Doses per inhaler1,2]]*Table13[[#This Row],[Indicative carbon footprint /puff (g CO2e) 
Midpoint value7,8]]</f>
        <v>20350</v>
      </c>
      <c r="O99" s="10" t="s">
        <v>672</v>
      </c>
      <c r="P99" s="3">
        <v>56</v>
      </c>
      <c r="Q99" s="3">
        <f>Table13[[#This Row],[Indicative carbon footprint /puff (g CO2e) 
Midpoint value7,8]]*Table13[[#This Row],[Number of puffs per 28 days1-4]]</f>
        <v>5698</v>
      </c>
      <c r="R99" s="3">
        <f>13*Table13[[#This Row],[Indicative carbon footprint per 28 days (g CO2e)]]</f>
        <v>74074</v>
      </c>
      <c r="S99" s="3" t="str">
        <f>IF(Table13[[#This Row],[Indicative carbon footprint /puff (g CO2e) 
Midpoint value7,8]]&gt;=35,"High","Low")</f>
        <v>High</v>
      </c>
      <c r="T99" s="3"/>
      <c r="U99" s="1">
        <f>Table13[[#This Row],[Number of puffs per 28 days1-4]]*Table13[[#This Row],[Cost/puff 1,5-7]]</f>
        <v>2.2036000000000002</v>
      </c>
      <c r="V99" s="1">
        <f>Table13[[#This Row],[Indicative cost per 28 days1,5]]*13</f>
        <v>28.646800000000002</v>
      </c>
      <c r="W99" s="2" t="s">
        <v>209</v>
      </c>
      <c r="X99" s="1" t="s">
        <v>7</v>
      </c>
      <c r="Y99" s="2" t="s">
        <v>210</v>
      </c>
      <c r="Z99" s="4" t="s">
        <v>212</v>
      </c>
      <c r="AC99" s="2" t="s">
        <v>29</v>
      </c>
      <c r="AD99" s="2" t="s">
        <v>30</v>
      </c>
      <c r="AE99" s="2" t="s">
        <v>63</v>
      </c>
      <c r="AF99" s="2" t="s">
        <v>63</v>
      </c>
      <c r="AG99" s="2" t="s">
        <v>63</v>
      </c>
      <c r="AH99" s="2" t="s">
        <v>63</v>
      </c>
      <c r="AI99" s="2" t="s">
        <v>63</v>
      </c>
      <c r="AJ99" s="2" t="s">
        <v>63</v>
      </c>
      <c r="AK99" s="2" t="s">
        <v>63</v>
      </c>
      <c r="AL99" s="2" t="s">
        <v>63</v>
      </c>
      <c r="AM99" s="2" t="s">
        <v>63</v>
      </c>
      <c r="AN99" s="2" t="s">
        <v>63</v>
      </c>
      <c r="AO99" s="2" t="s">
        <v>63</v>
      </c>
      <c r="AP99" s="2" t="s">
        <v>63</v>
      </c>
      <c r="AQ99" s="2" t="s">
        <v>63</v>
      </c>
      <c r="AR99" s="2" t="s">
        <v>63</v>
      </c>
      <c r="AS99" s="2" t="s">
        <v>312</v>
      </c>
    </row>
    <row r="100" spans="1:45" ht="45" x14ac:dyDescent="0.25">
      <c r="A100" s="2" t="s">
        <v>439</v>
      </c>
      <c r="B100" s="2" t="s">
        <v>23</v>
      </c>
      <c r="C100" s="2" t="s">
        <v>368</v>
      </c>
      <c r="D100" s="2" t="s">
        <v>18</v>
      </c>
      <c r="E100" s="2" t="s">
        <v>36</v>
      </c>
      <c r="F100" s="2" t="s">
        <v>150</v>
      </c>
      <c r="G100" s="2">
        <v>200</v>
      </c>
      <c r="H100" s="1">
        <v>17.21</v>
      </c>
      <c r="I100" s="1">
        <f t="shared" si="3"/>
        <v>8.6050000000000001E-2</v>
      </c>
      <c r="J100" s="2" t="s">
        <v>122</v>
      </c>
      <c r="K100" s="2" t="s">
        <v>37</v>
      </c>
      <c r="L100" s="2" t="s">
        <v>5</v>
      </c>
      <c r="M100" s="2">
        <v>101.75</v>
      </c>
      <c r="N100" s="2">
        <f>Table13[[#This Row],[Doses per inhaler1,2]]*Table13[[#This Row],[Indicative carbon footprint /puff (g CO2e) 
Midpoint value7,8]]</f>
        <v>20350</v>
      </c>
      <c r="O100" s="10" t="s">
        <v>672</v>
      </c>
      <c r="P100" s="3">
        <v>56</v>
      </c>
      <c r="Q100" s="3">
        <f>Table13[[#This Row],[Indicative carbon footprint /puff (g CO2e) 
Midpoint value7,8]]*Table13[[#This Row],[Number of puffs per 28 days1-4]]</f>
        <v>5698</v>
      </c>
      <c r="R100" s="3">
        <f>13*Table13[[#This Row],[Indicative carbon footprint per 28 days (g CO2e)]]</f>
        <v>74074</v>
      </c>
      <c r="S100" s="3" t="str">
        <f>IF(Table13[[#This Row],[Indicative carbon footprint /puff (g CO2e) 
Midpoint value7,8]]&gt;=35,"High","Low")</f>
        <v>High</v>
      </c>
      <c r="T100" s="3"/>
      <c r="U100" s="1">
        <f>Table13[[#This Row],[Number of puffs per 28 days1-4]]*Table13[[#This Row],[Cost/puff 1,5-7]]</f>
        <v>4.8188000000000004</v>
      </c>
      <c r="V100" s="1">
        <f>Table13[[#This Row],[Indicative cost per 28 days1,5]]*13</f>
        <v>62.644400000000005</v>
      </c>
      <c r="W100" s="2" t="s">
        <v>209</v>
      </c>
      <c r="X100" s="1" t="s">
        <v>7</v>
      </c>
      <c r="Y100" s="2" t="s">
        <v>210</v>
      </c>
      <c r="Z100" s="4" t="s">
        <v>213</v>
      </c>
      <c r="AC100" s="2" t="s">
        <v>29</v>
      </c>
      <c r="AD100" s="2" t="s">
        <v>30</v>
      </c>
      <c r="AE100" s="2" t="s">
        <v>63</v>
      </c>
      <c r="AF100" s="2" t="s">
        <v>63</v>
      </c>
      <c r="AG100" s="2" t="s">
        <v>63</v>
      </c>
      <c r="AH100" s="2" t="s">
        <v>63</v>
      </c>
      <c r="AI100" s="2" t="s">
        <v>63</v>
      </c>
      <c r="AJ100" s="2" t="s">
        <v>63</v>
      </c>
      <c r="AK100" s="2" t="s">
        <v>63</v>
      </c>
      <c r="AL100" s="2" t="s">
        <v>63</v>
      </c>
      <c r="AM100" s="2" t="s">
        <v>63</v>
      </c>
      <c r="AN100" s="2" t="s">
        <v>63</v>
      </c>
      <c r="AO100" s="2" t="s">
        <v>63</v>
      </c>
      <c r="AP100" s="2" t="s">
        <v>63</v>
      </c>
      <c r="AQ100" s="2" t="s">
        <v>63</v>
      </c>
      <c r="AR100" s="2" t="s">
        <v>63</v>
      </c>
      <c r="AS100" s="2" t="s">
        <v>312</v>
      </c>
    </row>
    <row r="101" spans="1:45" ht="45" x14ac:dyDescent="0.25">
      <c r="A101" s="2" t="s">
        <v>440</v>
      </c>
      <c r="B101" s="2" t="s">
        <v>23</v>
      </c>
      <c r="C101" s="2" t="s">
        <v>374</v>
      </c>
      <c r="D101" s="2" t="s">
        <v>18</v>
      </c>
      <c r="E101" s="2" t="s">
        <v>36</v>
      </c>
      <c r="F101" s="2" t="s">
        <v>150</v>
      </c>
      <c r="G101" s="2">
        <v>200</v>
      </c>
      <c r="H101" s="1">
        <v>7.87</v>
      </c>
      <c r="I101" s="1">
        <f t="shared" si="3"/>
        <v>3.9350000000000003E-2</v>
      </c>
      <c r="J101" s="2" t="s">
        <v>122</v>
      </c>
      <c r="K101" s="2" t="s">
        <v>37</v>
      </c>
      <c r="L101" s="2" t="s">
        <v>5</v>
      </c>
      <c r="M101" s="2">
        <v>101.75</v>
      </c>
      <c r="N101" s="2">
        <f>Table13[[#This Row],[Doses per inhaler1,2]]*Table13[[#This Row],[Indicative carbon footprint /puff (g CO2e) 
Midpoint value7,8]]</f>
        <v>20350</v>
      </c>
      <c r="O101" s="10" t="s">
        <v>672</v>
      </c>
      <c r="P101" s="3">
        <v>56</v>
      </c>
      <c r="Q101" s="3">
        <f>Table13[[#This Row],[Indicative carbon footprint /puff (g CO2e) 
Midpoint value7,8]]*Table13[[#This Row],[Number of puffs per 28 days1-4]]</f>
        <v>5698</v>
      </c>
      <c r="R101" s="3">
        <f>13*Table13[[#This Row],[Indicative carbon footprint per 28 days (g CO2e)]]</f>
        <v>74074</v>
      </c>
      <c r="S101" s="3" t="str">
        <f>IF(Table13[[#This Row],[Indicative carbon footprint /puff (g CO2e) 
Midpoint value7,8]]&gt;=35,"High","Low")</f>
        <v>High</v>
      </c>
      <c r="T101" s="3"/>
      <c r="U101" s="1">
        <f>Table13[[#This Row],[Number of puffs per 28 days1-4]]*Table13[[#This Row],[Cost/puff 1,5-7]]</f>
        <v>2.2036000000000002</v>
      </c>
      <c r="V101" s="1">
        <f>Table13[[#This Row],[Indicative cost per 28 days1,5]]*13</f>
        <v>28.646800000000002</v>
      </c>
      <c r="W101" s="2" t="s">
        <v>209</v>
      </c>
      <c r="X101" s="1" t="s">
        <v>7</v>
      </c>
      <c r="Y101" s="2" t="s">
        <v>210</v>
      </c>
      <c r="Z101" s="4" t="s">
        <v>214</v>
      </c>
      <c r="AC101" s="2" t="s">
        <v>29</v>
      </c>
      <c r="AD101" s="2" t="s">
        <v>63</v>
      </c>
      <c r="AE101" s="2" t="s">
        <v>63</v>
      </c>
      <c r="AF101" s="2" t="s">
        <v>63</v>
      </c>
      <c r="AG101" s="2" t="s">
        <v>63</v>
      </c>
      <c r="AH101" s="2" t="s">
        <v>63</v>
      </c>
      <c r="AI101" s="2" t="s">
        <v>63</v>
      </c>
      <c r="AJ101" s="2" t="s">
        <v>63</v>
      </c>
      <c r="AK101" s="2" t="s">
        <v>63</v>
      </c>
      <c r="AL101" s="2" t="s">
        <v>63</v>
      </c>
      <c r="AM101" s="2" t="s">
        <v>63</v>
      </c>
      <c r="AN101" s="2" t="s">
        <v>63</v>
      </c>
      <c r="AO101" s="2" t="s">
        <v>63</v>
      </c>
      <c r="AP101" s="2" t="s">
        <v>63</v>
      </c>
      <c r="AQ101" s="2" t="s">
        <v>63</v>
      </c>
      <c r="AR101" s="2" t="s">
        <v>63</v>
      </c>
      <c r="AS101" s="2" t="s">
        <v>312</v>
      </c>
    </row>
    <row r="102" spans="1:45" ht="45" x14ac:dyDescent="0.25">
      <c r="A102" s="2" t="s">
        <v>441</v>
      </c>
      <c r="B102" s="2" t="s">
        <v>23</v>
      </c>
      <c r="C102" s="2" t="s">
        <v>368</v>
      </c>
      <c r="D102" s="2" t="s">
        <v>18</v>
      </c>
      <c r="E102" s="2" t="s">
        <v>36</v>
      </c>
      <c r="F102" s="2" t="s">
        <v>150</v>
      </c>
      <c r="G102" s="2">
        <v>200</v>
      </c>
      <c r="H102" s="1">
        <v>16.95</v>
      </c>
      <c r="I102" s="1">
        <f t="shared" si="3"/>
        <v>8.4749999999999992E-2</v>
      </c>
      <c r="J102" s="2" t="s">
        <v>37</v>
      </c>
      <c r="K102" s="2" t="s">
        <v>37</v>
      </c>
      <c r="L102" s="2" t="s">
        <v>5</v>
      </c>
      <c r="M102" s="2">
        <v>101.75</v>
      </c>
      <c r="N102" s="2">
        <f>Table13[[#This Row],[Doses per inhaler1,2]]*Table13[[#This Row],[Indicative carbon footprint /puff (g CO2e) 
Midpoint value7,8]]</f>
        <v>20350</v>
      </c>
      <c r="O102" s="10" t="s">
        <v>672</v>
      </c>
      <c r="P102" s="3">
        <v>56</v>
      </c>
      <c r="Q102" s="3">
        <f>Table13[[#This Row],[Indicative carbon footprint /puff (g CO2e) 
Midpoint value7,8]]*Table13[[#This Row],[Number of puffs per 28 days1-4]]</f>
        <v>5698</v>
      </c>
      <c r="R102" s="3">
        <f>13*Table13[[#This Row],[Indicative carbon footprint per 28 days (g CO2e)]]</f>
        <v>74074</v>
      </c>
      <c r="S102" s="3" t="str">
        <f>IF(Table13[[#This Row],[Indicative carbon footprint /puff (g CO2e) 
Midpoint value7,8]]&gt;=35,"High","Low")</f>
        <v>High</v>
      </c>
      <c r="T102" s="3"/>
      <c r="U102" s="1">
        <f>Table13[[#This Row],[Number of puffs per 28 days1-4]]*Table13[[#This Row],[Cost/puff 1,5-7]]</f>
        <v>4.7459999999999996</v>
      </c>
      <c r="V102" s="1">
        <f>Table13[[#This Row],[Indicative cost per 28 days1,5]]*13</f>
        <v>61.697999999999993</v>
      </c>
      <c r="W102" s="2" t="s">
        <v>209</v>
      </c>
      <c r="X102" s="1" t="s">
        <v>7</v>
      </c>
      <c r="Y102" s="2" t="s">
        <v>210</v>
      </c>
      <c r="Z102" s="4" t="s">
        <v>215</v>
      </c>
      <c r="AC102" s="2" t="s">
        <v>29</v>
      </c>
      <c r="AD102" s="2" t="s">
        <v>63</v>
      </c>
      <c r="AE102" s="2" t="s">
        <v>63</v>
      </c>
      <c r="AF102" s="2" t="s">
        <v>63</v>
      </c>
      <c r="AG102" s="2" t="s">
        <v>63</v>
      </c>
      <c r="AH102" s="2" t="s">
        <v>63</v>
      </c>
      <c r="AI102" s="2" t="s">
        <v>63</v>
      </c>
      <c r="AJ102" s="2" t="s">
        <v>63</v>
      </c>
      <c r="AK102" s="2" t="s">
        <v>63</v>
      </c>
      <c r="AL102" s="2" t="s">
        <v>63</v>
      </c>
      <c r="AM102" s="2" t="s">
        <v>63</v>
      </c>
      <c r="AN102" s="2" t="s">
        <v>63</v>
      </c>
      <c r="AO102" s="2" t="s">
        <v>63</v>
      </c>
      <c r="AP102" s="2" t="s">
        <v>63</v>
      </c>
      <c r="AQ102" s="2" t="s">
        <v>63</v>
      </c>
      <c r="AR102" s="2" t="s">
        <v>63</v>
      </c>
      <c r="AS102" s="2" t="s">
        <v>312</v>
      </c>
    </row>
    <row r="103" spans="1:45" ht="45" x14ac:dyDescent="0.25">
      <c r="A103" s="2" t="s">
        <v>442</v>
      </c>
      <c r="B103" s="2" t="s">
        <v>23</v>
      </c>
      <c r="C103" s="2" t="s">
        <v>374</v>
      </c>
      <c r="D103" s="2" t="s">
        <v>18</v>
      </c>
      <c r="E103" s="2" t="s">
        <v>36</v>
      </c>
      <c r="F103" s="2" t="s">
        <v>150</v>
      </c>
      <c r="G103" s="2">
        <v>200</v>
      </c>
      <c r="H103" s="1">
        <v>7.74</v>
      </c>
      <c r="I103" s="1">
        <f t="shared" si="3"/>
        <v>3.8699999999999998E-2</v>
      </c>
      <c r="J103" s="2" t="s">
        <v>37</v>
      </c>
      <c r="K103" s="2" t="s">
        <v>37</v>
      </c>
      <c r="L103" s="2" t="s">
        <v>5</v>
      </c>
      <c r="M103" s="2">
        <v>101.75</v>
      </c>
      <c r="N103" s="2">
        <f>Table13[[#This Row],[Doses per inhaler1,2]]*Table13[[#This Row],[Indicative carbon footprint /puff (g CO2e) 
Midpoint value7,8]]</f>
        <v>20350</v>
      </c>
      <c r="O103" s="10" t="s">
        <v>672</v>
      </c>
      <c r="P103" s="3">
        <v>56</v>
      </c>
      <c r="Q103" s="3">
        <f>Table13[[#This Row],[Indicative carbon footprint /puff (g CO2e) 
Midpoint value7,8]]*Table13[[#This Row],[Number of puffs per 28 days1-4]]</f>
        <v>5698</v>
      </c>
      <c r="R103" s="3">
        <f>13*Table13[[#This Row],[Indicative carbon footprint per 28 days (g CO2e)]]</f>
        <v>74074</v>
      </c>
      <c r="S103" s="3" t="str">
        <f>IF(Table13[[#This Row],[Indicative carbon footprint /puff (g CO2e) 
Midpoint value7,8]]&gt;=35,"High","Low")</f>
        <v>High</v>
      </c>
      <c r="T103" s="3"/>
      <c r="U103" s="1">
        <f>Table13[[#This Row],[Number of puffs per 28 days1-4]]*Table13[[#This Row],[Cost/puff 1,5-7]]</f>
        <v>2.1671999999999998</v>
      </c>
      <c r="V103" s="1">
        <f>Table13[[#This Row],[Indicative cost per 28 days1,5]]*13</f>
        <v>28.173599999999997</v>
      </c>
      <c r="W103" s="2" t="s">
        <v>209</v>
      </c>
      <c r="X103" s="1" t="s">
        <v>7</v>
      </c>
      <c r="Y103" s="2" t="s">
        <v>210</v>
      </c>
      <c r="Z103" s="4" t="s">
        <v>216</v>
      </c>
      <c r="AC103" s="2" t="s">
        <v>29</v>
      </c>
      <c r="AD103" s="2" t="s">
        <v>63</v>
      </c>
      <c r="AE103" s="2" t="s">
        <v>63</v>
      </c>
      <c r="AF103" s="2" t="s">
        <v>63</v>
      </c>
      <c r="AG103" s="2" t="s">
        <v>63</v>
      </c>
      <c r="AH103" s="2" t="s">
        <v>63</v>
      </c>
      <c r="AI103" s="2" t="s">
        <v>63</v>
      </c>
      <c r="AJ103" s="2" t="s">
        <v>63</v>
      </c>
      <c r="AK103" s="2" t="s">
        <v>63</v>
      </c>
      <c r="AL103" s="2" t="s">
        <v>63</v>
      </c>
      <c r="AM103" s="2" t="s">
        <v>63</v>
      </c>
      <c r="AN103" s="2" t="s">
        <v>63</v>
      </c>
      <c r="AO103" s="2" t="s">
        <v>63</v>
      </c>
      <c r="AP103" s="2" t="s">
        <v>63</v>
      </c>
      <c r="AQ103" s="2" t="s">
        <v>63</v>
      </c>
      <c r="AR103" s="2" t="s">
        <v>63</v>
      </c>
      <c r="AS103" s="2" t="s">
        <v>312</v>
      </c>
    </row>
    <row r="104" spans="1:45" ht="105" x14ac:dyDescent="0.25">
      <c r="A104" s="2" t="s">
        <v>220</v>
      </c>
      <c r="B104" s="2" t="s">
        <v>41</v>
      </c>
      <c r="C104" s="2" t="s">
        <v>443</v>
      </c>
      <c r="D104" s="2" t="s">
        <v>18</v>
      </c>
      <c r="E104" s="2" t="s">
        <v>11</v>
      </c>
      <c r="F104" s="2" t="s">
        <v>6</v>
      </c>
      <c r="G104" s="2">
        <v>30</v>
      </c>
      <c r="H104" s="1">
        <v>29.5</v>
      </c>
      <c r="I104" s="1">
        <f t="shared" si="3"/>
        <v>0.98333333333333328</v>
      </c>
      <c r="J104" s="2" t="s">
        <v>37</v>
      </c>
      <c r="K104" s="2" t="s">
        <v>37</v>
      </c>
      <c r="L104" s="2" t="s">
        <v>13</v>
      </c>
      <c r="M104" s="2">
        <v>26</v>
      </c>
      <c r="N104" s="2">
        <v>754</v>
      </c>
      <c r="O104" s="10" t="s">
        <v>671</v>
      </c>
      <c r="P104" s="3">
        <v>28</v>
      </c>
      <c r="Q104" s="3">
        <f>Table13[[#This Row],[Indicative carbon footprint /puff (g CO2e) 
Midpoint value7,8]]*Table13[[#This Row],[Number of puffs per 28 days1-4]]</f>
        <v>728</v>
      </c>
      <c r="R104" s="3">
        <f>13*Table13[[#This Row],[Indicative carbon footprint per 28 days (g CO2e)]]</f>
        <v>9464</v>
      </c>
      <c r="S104" s="3" t="str">
        <f>IF(Table13[[#This Row],[Indicative carbon footprint /puff (g CO2e) 
Midpoint value7,8]]&gt;=35,"High","Low")</f>
        <v>Low</v>
      </c>
      <c r="T104" s="3"/>
      <c r="U104" s="1">
        <f>Table13[[#This Row],[Number of puffs per 28 days1-4]]*Table13[[#This Row],[Cost/puff 1,5-7]]</f>
        <v>27.533333333333331</v>
      </c>
      <c r="V104" s="1">
        <f>Table13[[#This Row],[Indicative cost per 28 days1,5]]*13</f>
        <v>357.93333333333328</v>
      </c>
      <c r="X104" s="1" t="s">
        <v>14</v>
      </c>
      <c r="Y104" s="2" t="s">
        <v>5</v>
      </c>
      <c r="Z104" s="4" t="s">
        <v>221</v>
      </c>
      <c r="AA104" s="2" t="s">
        <v>45</v>
      </c>
      <c r="AB104" s="2" t="s">
        <v>17</v>
      </c>
      <c r="AC104" s="9" t="s">
        <v>5</v>
      </c>
      <c r="AD104" s="2" t="s">
        <v>46</v>
      </c>
      <c r="AE104" s="2">
        <v>11</v>
      </c>
      <c r="AF104" s="2">
        <v>235</v>
      </c>
      <c r="AG104" s="2" t="s">
        <v>515</v>
      </c>
      <c r="AH104" s="2" t="s">
        <v>322</v>
      </c>
      <c r="AI104" s="2">
        <v>355</v>
      </c>
      <c r="AJ104" s="2" t="s">
        <v>516</v>
      </c>
      <c r="AK104" s="2" t="s">
        <v>516</v>
      </c>
      <c r="AL104" s="2">
        <v>29</v>
      </c>
      <c r="AM104" s="2">
        <v>62</v>
      </c>
      <c r="AN104" s="2">
        <v>52</v>
      </c>
      <c r="AO104" s="2" t="s">
        <v>63</v>
      </c>
      <c r="AP104" s="2" t="s">
        <v>5</v>
      </c>
      <c r="AQ104" s="2" t="s">
        <v>5</v>
      </c>
      <c r="AR104" s="2" t="s">
        <v>47</v>
      </c>
      <c r="AS104" s="2" t="s">
        <v>310</v>
      </c>
    </row>
    <row r="105" spans="1:45" ht="105" x14ac:dyDescent="0.25">
      <c r="A105" s="2" t="s">
        <v>222</v>
      </c>
      <c r="B105" s="2" t="s">
        <v>41</v>
      </c>
      <c r="C105" s="2" t="s">
        <v>444</v>
      </c>
      <c r="D105" s="2" t="s">
        <v>10</v>
      </c>
      <c r="E105" s="2" t="s">
        <v>11</v>
      </c>
      <c r="F105" s="2" t="s">
        <v>6</v>
      </c>
      <c r="G105" s="2">
        <v>30</v>
      </c>
      <c r="H105" s="1">
        <v>22</v>
      </c>
      <c r="I105" s="1">
        <f t="shared" si="3"/>
        <v>0.73333333333333328</v>
      </c>
      <c r="J105" s="2" t="s">
        <v>37</v>
      </c>
      <c r="K105" s="2" t="s">
        <v>37</v>
      </c>
      <c r="L105" s="2" t="s">
        <v>13</v>
      </c>
      <c r="M105" s="2">
        <v>26</v>
      </c>
      <c r="N105" s="2">
        <v>754</v>
      </c>
      <c r="O105" s="10" t="s">
        <v>671</v>
      </c>
      <c r="P105" s="3">
        <v>28</v>
      </c>
      <c r="Q105" s="3">
        <f>Table13[[#This Row],[Indicative carbon footprint /puff (g CO2e) 
Midpoint value7,8]]*Table13[[#This Row],[Number of puffs per 28 days1-4]]</f>
        <v>728</v>
      </c>
      <c r="R105" s="3">
        <f>13*Table13[[#This Row],[Indicative carbon footprint per 28 days (g CO2e)]]</f>
        <v>9464</v>
      </c>
      <c r="S105" s="3" t="str">
        <f>IF(Table13[[#This Row],[Indicative carbon footprint /puff (g CO2e) 
Midpoint value7,8]]&gt;=35,"High","Low")</f>
        <v>Low</v>
      </c>
      <c r="T105" s="3"/>
      <c r="U105" s="1">
        <f>Table13[[#This Row],[Number of puffs per 28 days1-4]]*Table13[[#This Row],[Cost/puff 1,5-7]]</f>
        <v>20.533333333333331</v>
      </c>
      <c r="V105" s="1">
        <f>Table13[[#This Row],[Indicative cost per 28 days1,5]]*13</f>
        <v>266.93333333333328</v>
      </c>
      <c r="X105" s="1" t="s">
        <v>14</v>
      </c>
      <c r="Y105" s="2" t="s">
        <v>5</v>
      </c>
      <c r="Z105" s="4" t="s">
        <v>223</v>
      </c>
      <c r="AA105" s="2" t="s">
        <v>45</v>
      </c>
      <c r="AB105" s="2" t="s">
        <v>17</v>
      </c>
      <c r="AC105" s="9" t="s">
        <v>5</v>
      </c>
      <c r="AD105" s="2" t="s">
        <v>46</v>
      </c>
      <c r="AE105" s="2">
        <v>11</v>
      </c>
      <c r="AF105" s="2">
        <v>235</v>
      </c>
      <c r="AG105" s="2" t="s">
        <v>515</v>
      </c>
      <c r="AH105" s="2" t="s">
        <v>322</v>
      </c>
      <c r="AI105" s="2">
        <v>355</v>
      </c>
      <c r="AJ105" s="2" t="s">
        <v>516</v>
      </c>
      <c r="AK105" s="2" t="s">
        <v>516</v>
      </c>
      <c r="AL105" s="2">
        <v>29</v>
      </c>
      <c r="AM105" s="2">
        <v>62</v>
      </c>
      <c r="AN105" s="2">
        <v>52</v>
      </c>
      <c r="AO105" s="2" t="s">
        <v>63</v>
      </c>
      <c r="AP105" s="2" t="s">
        <v>5</v>
      </c>
      <c r="AQ105" s="2" t="s">
        <v>5</v>
      </c>
      <c r="AR105" s="2" t="s">
        <v>47</v>
      </c>
      <c r="AS105" s="2" t="s">
        <v>310</v>
      </c>
    </row>
    <row r="106" spans="1:45" ht="33" x14ac:dyDescent="0.25">
      <c r="A106" s="2" t="s">
        <v>445</v>
      </c>
      <c r="B106" s="2" t="s">
        <v>23</v>
      </c>
      <c r="C106" s="2" t="s">
        <v>343</v>
      </c>
      <c r="D106" s="2" t="s">
        <v>24</v>
      </c>
      <c r="E106" s="2" t="s">
        <v>25</v>
      </c>
      <c r="F106" s="2" t="s">
        <v>19</v>
      </c>
      <c r="G106" s="2">
        <v>200</v>
      </c>
      <c r="H106" s="1">
        <v>1.46</v>
      </c>
      <c r="I106" s="1">
        <f t="shared" si="3"/>
        <v>7.3000000000000001E-3</v>
      </c>
      <c r="J106" s="2" t="s">
        <v>26</v>
      </c>
      <c r="K106" s="2" t="s">
        <v>96</v>
      </c>
      <c r="L106" s="2" t="s">
        <v>5</v>
      </c>
      <c r="M106" s="2">
        <v>60.4</v>
      </c>
      <c r="N106" s="2">
        <v>11950</v>
      </c>
      <c r="O106" s="10" t="s">
        <v>672</v>
      </c>
      <c r="P106" s="3">
        <v>28</v>
      </c>
      <c r="Q106" s="3">
        <f>Table13[[#This Row],[Indicative carbon footprint /puff (g CO2e) 
Midpoint value7,8]]*Table13[[#This Row],[Number of puffs per 28 days1-4]]</f>
        <v>1691.2</v>
      </c>
      <c r="R106" s="3">
        <f>13*Table13[[#This Row],[Indicative carbon footprint per 28 days (g CO2e)]]</f>
        <v>21985.600000000002</v>
      </c>
      <c r="S106" s="3" t="str">
        <f>IF(Table13[[#This Row],[Indicative carbon footprint /puff (g CO2e) 
Midpoint value7,8]]&gt;=35,"High","Low")</f>
        <v>High</v>
      </c>
      <c r="T106" s="3"/>
      <c r="U106" s="1">
        <f>Table13[[#This Row],[Number of puffs per 28 days1-4]]*Table13[[#This Row],[Cost/puff 1,5-7]]</f>
        <v>0.2044</v>
      </c>
      <c r="V106" s="1">
        <f>Table13[[#This Row],[Indicative cost per 28 days1,5]]*13</f>
        <v>2.6572</v>
      </c>
      <c r="X106" s="1" t="s">
        <v>14</v>
      </c>
      <c r="Y106" s="2" t="s">
        <v>210</v>
      </c>
      <c r="Z106" s="4" t="s">
        <v>224</v>
      </c>
      <c r="AC106" s="2" t="s">
        <v>29</v>
      </c>
      <c r="AD106" s="2" t="s">
        <v>63</v>
      </c>
      <c r="AE106" s="2" t="s">
        <v>63</v>
      </c>
      <c r="AF106" s="2" t="s">
        <v>63</v>
      </c>
      <c r="AG106" s="2" t="s">
        <v>63</v>
      </c>
      <c r="AH106" s="2" t="s">
        <v>63</v>
      </c>
      <c r="AI106" s="2" t="s">
        <v>63</v>
      </c>
      <c r="AJ106" s="2" t="s">
        <v>63</v>
      </c>
      <c r="AK106" s="2" t="s">
        <v>63</v>
      </c>
      <c r="AL106" s="2" t="s">
        <v>63</v>
      </c>
      <c r="AM106" s="2" t="s">
        <v>63</v>
      </c>
      <c r="AN106" s="2" t="s">
        <v>63</v>
      </c>
      <c r="AO106" s="2" t="s">
        <v>63</v>
      </c>
      <c r="AP106" s="2" t="s">
        <v>63</v>
      </c>
      <c r="AQ106" s="2" t="s">
        <v>63</v>
      </c>
      <c r="AR106" s="2" t="s">
        <v>63</v>
      </c>
      <c r="AS106" s="2" t="s">
        <v>558</v>
      </c>
    </row>
    <row r="107" spans="1:45" ht="45" x14ac:dyDescent="0.25">
      <c r="A107" s="2" t="s">
        <v>446</v>
      </c>
      <c r="B107" s="2" t="s">
        <v>23</v>
      </c>
      <c r="C107" s="2" t="s">
        <v>343</v>
      </c>
      <c r="D107" s="2" t="s">
        <v>24</v>
      </c>
      <c r="E107" s="2" t="s">
        <v>25</v>
      </c>
      <c r="F107" s="2" t="s">
        <v>150</v>
      </c>
      <c r="G107" s="2">
        <v>200</v>
      </c>
      <c r="H107" s="1">
        <v>6.3</v>
      </c>
      <c r="I107" s="1">
        <f t="shared" si="3"/>
        <v>3.15E-2</v>
      </c>
      <c r="J107" s="2" t="s">
        <v>26</v>
      </c>
      <c r="K107" s="2" t="s">
        <v>96</v>
      </c>
      <c r="L107" s="2" t="s">
        <v>5</v>
      </c>
      <c r="M107" s="2">
        <v>59.8</v>
      </c>
      <c r="N107" s="2">
        <v>12080</v>
      </c>
      <c r="O107" s="10" t="s">
        <v>672</v>
      </c>
      <c r="P107" s="3">
        <v>28</v>
      </c>
      <c r="Q107" s="3">
        <f>Table13[[#This Row],[Indicative carbon footprint /puff (g CO2e) 
Midpoint value7,8]]*Table13[[#This Row],[Number of puffs per 28 days1-4]]</f>
        <v>1674.3999999999999</v>
      </c>
      <c r="R107" s="3">
        <f>13*Table13[[#This Row],[Indicative carbon footprint per 28 days (g CO2e)]]</f>
        <v>21767.199999999997</v>
      </c>
      <c r="S107" s="3" t="str">
        <f>IF(Table13[[#This Row],[Indicative carbon footprint /puff (g CO2e) 
Midpoint value7,8]]&gt;=35,"High","Low")</f>
        <v>High</v>
      </c>
      <c r="T107" s="3"/>
      <c r="U107" s="1">
        <f>Table13[[#This Row],[Number of puffs per 28 days1-4]]*Table13[[#This Row],[Cost/puff 1,5-7]]</f>
        <v>0.88200000000000001</v>
      </c>
      <c r="V107" s="1">
        <f>Table13[[#This Row],[Indicative cost per 28 days1,5]]*13</f>
        <v>11.465999999999999</v>
      </c>
      <c r="X107" s="1" t="s">
        <v>14</v>
      </c>
      <c r="Y107" s="2" t="s">
        <v>210</v>
      </c>
      <c r="Z107" s="4" t="s">
        <v>225</v>
      </c>
      <c r="AC107" s="2" t="s">
        <v>29</v>
      </c>
      <c r="AD107" s="2" t="s">
        <v>63</v>
      </c>
      <c r="AE107" s="2" t="s">
        <v>63</v>
      </c>
      <c r="AF107" s="2" t="s">
        <v>63</v>
      </c>
      <c r="AG107" s="2" t="s">
        <v>63</v>
      </c>
      <c r="AH107" s="2" t="s">
        <v>63</v>
      </c>
      <c r="AI107" s="2" t="s">
        <v>63</v>
      </c>
      <c r="AJ107" s="2" t="s">
        <v>63</v>
      </c>
      <c r="AK107" s="2" t="s">
        <v>63</v>
      </c>
      <c r="AL107" s="2" t="s">
        <v>63</v>
      </c>
      <c r="AM107" s="2" t="s">
        <v>63</v>
      </c>
      <c r="AN107" s="2" t="s">
        <v>63</v>
      </c>
      <c r="AO107" s="2" t="s">
        <v>63</v>
      </c>
      <c r="AP107" s="2" t="s">
        <v>63</v>
      </c>
      <c r="AQ107" s="2" t="s">
        <v>63</v>
      </c>
      <c r="AR107" s="2" t="s">
        <v>63</v>
      </c>
      <c r="AS107" s="2" t="s">
        <v>558</v>
      </c>
    </row>
    <row r="108" spans="1:45" ht="30" x14ac:dyDescent="0.25">
      <c r="A108" s="2" t="s">
        <v>447</v>
      </c>
      <c r="B108" s="2" t="s">
        <v>32</v>
      </c>
      <c r="C108" s="2" t="s">
        <v>611</v>
      </c>
      <c r="D108" s="2" t="s">
        <v>24</v>
      </c>
      <c r="E108" s="2" t="s">
        <v>25</v>
      </c>
      <c r="F108" s="2" t="s">
        <v>6</v>
      </c>
      <c r="G108" s="2">
        <v>200</v>
      </c>
      <c r="H108" s="1">
        <v>2.75</v>
      </c>
      <c r="I108" s="1">
        <f t="shared" si="3"/>
        <v>1.375E-2</v>
      </c>
      <c r="J108" s="2" t="s">
        <v>76</v>
      </c>
      <c r="K108" s="2" t="s">
        <v>226</v>
      </c>
      <c r="L108" s="2" t="s">
        <v>5</v>
      </c>
      <c r="M108" s="2">
        <v>18.75</v>
      </c>
      <c r="N108" s="2">
        <f>Table13[[#This Row],[Doses per inhaler1,2]]*Table13[[#This Row],[Indicative carbon footprint /puff (g CO2e) 
Midpoint value7,8]]</f>
        <v>3750</v>
      </c>
      <c r="O108" s="10" t="s">
        <v>676</v>
      </c>
      <c r="P108" s="3">
        <v>28</v>
      </c>
      <c r="Q108" s="29">
        <f>Table13[[#This Row],[Indicative carbon footprint /puff (g CO2e) 
Midpoint value7,8]]*Table13[[#This Row],[Number of puffs per 28 days1-4]]</f>
        <v>525</v>
      </c>
      <c r="R108" s="3">
        <f>13*Table13[[#This Row],[Indicative carbon footprint per 28 days (g CO2e)]]</f>
        <v>6825</v>
      </c>
      <c r="S108" s="3" t="str">
        <f>IF(Table13[[#This Row],[Indicative carbon footprint /puff (g CO2e) 
Midpoint value7,8]]&gt;=35,"High","Low")</f>
        <v>Low</v>
      </c>
      <c r="T108" s="3"/>
      <c r="U108" s="1">
        <f>Table13[[#This Row],[Number of puffs per 28 days1-4]]*Table13[[#This Row],[Cost/puff 1,5-7]]</f>
        <v>0.38500000000000001</v>
      </c>
      <c r="V108" s="1">
        <f>Table13[[#This Row],[Indicative cost per 28 days1,5]]*13</f>
        <v>5.0049999999999999</v>
      </c>
      <c r="W108" s="32"/>
      <c r="X108" s="1" t="s">
        <v>7</v>
      </c>
      <c r="Y108" s="2" t="s">
        <v>5</v>
      </c>
      <c r="Z108" s="4" t="s">
        <v>689</v>
      </c>
      <c r="AB108" s="2" t="s">
        <v>17</v>
      </c>
      <c r="AC108" s="9" t="s">
        <v>5</v>
      </c>
      <c r="AD108" s="2" t="s">
        <v>63</v>
      </c>
      <c r="AE108" s="2" t="s">
        <v>63</v>
      </c>
      <c r="AF108" s="2" t="s">
        <v>63</v>
      </c>
      <c r="AG108" s="2" t="s">
        <v>63</v>
      </c>
      <c r="AH108" s="2" t="s">
        <v>63</v>
      </c>
      <c r="AI108" s="2" t="s">
        <v>63</v>
      </c>
      <c r="AJ108" s="2" t="s">
        <v>63</v>
      </c>
      <c r="AK108" s="2" t="s">
        <v>63</v>
      </c>
      <c r="AL108" s="2" t="s">
        <v>63</v>
      </c>
      <c r="AM108" s="2" t="s">
        <v>63</v>
      </c>
      <c r="AN108" s="2" t="s">
        <v>63</v>
      </c>
      <c r="AO108" s="2" t="s">
        <v>63</v>
      </c>
      <c r="AP108" s="2" t="s">
        <v>63</v>
      </c>
      <c r="AQ108" s="2" t="s">
        <v>63</v>
      </c>
      <c r="AR108" s="2" t="s">
        <v>63</v>
      </c>
      <c r="AS108" s="2" t="s">
        <v>310</v>
      </c>
    </row>
    <row r="109" spans="1:45" ht="30" x14ac:dyDescent="0.25">
      <c r="A109" s="2" t="s">
        <v>447</v>
      </c>
      <c r="B109" s="2" t="s">
        <v>32</v>
      </c>
      <c r="C109" s="2" t="s">
        <v>448</v>
      </c>
      <c r="D109" s="2" t="s">
        <v>24</v>
      </c>
      <c r="E109" s="2" t="s">
        <v>25</v>
      </c>
      <c r="F109" s="2" t="s">
        <v>6</v>
      </c>
      <c r="G109" s="2">
        <v>200</v>
      </c>
      <c r="H109" s="1">
        <v>4.95</v>
      </c>
      <c r="I109" s="1">
        <f t="shared" si="3"/>
        <v>2.4750000000000001E-2</v>
      </c>
      <c r="J109" s="2" t="s">
        <v>76</v>
      </c>
      <c r="K109" s="2" t="s">
        <v>226</v>
      </c>
      <c r="L109" s="2" t="s">
        <v>5</v>
      </c>
      <c r="M109" s="2">
        <v>18.75</v>
      </c>
      <c r="N109" s="2">
        <f>Table13[[#This Row],[Doses per inhaler1,2]]*Table13[[#This Row],[Indicative carbon footprint /puff (g CO2e) 
Midpoint value7,8]]</f>
        <v>3750</v>
      </c>
      <c r="O109" s="10" t="s">
        <v>676</v>
      </c>
      <c r="P109" s="3">
        <v>28</v>
      </c>
      <c r="Q109" s="3">
        <f>Table13[[#This Row],[Indicative carbon footprint /puff (g CO2e) 
Midpoint value7,8]]*Table13[[#This Row],[Number of puffs per 28 days1-4]]</f>
        <v>525</v>
      </c>
      <c r="R109" s="3">
        <f>13*Table13[[#This Row],[Indicative carbon footprint per 28 days (g CO2e)]]</f>
        <v>6825</v>
      </c>
      <c r="S109" s="3" t="str">
        <f>IF(Table13[[#This Row],[Indicative carbon footprint /puff (g CO2e) 
Midpoint value7,8]]&gt;=35,"High","Low")</f>
        <v>Low</v>
      </c>
      <c r="T109" s="3"/>
      <c r="U109" s="1">
        <f>Table13[[#This Row],[Number of puffs per 28 days1-4]]*Table13[[#This Row],[Cost/puff 1,5-7]]</f>
        <v>0.69300000000000006</v>
      </c>
      <c r="V109" s="1">
        <f>Table13[[#This Row],[Indicative cost per 28 days1,5]]*13</f>
        <v>9.0090000000000003</v>
      </c>
      <c r="X109" s="1" t="s">
        <v>7</v>
      </c>
      <c r="Y109" s="2" t="s">
        <v>5</v>
      </c>
      <c r="Z109" s="4" t="s">
        <v>227</v>
      </c>
      <c r="AB109" s="2" t="s">
        <v>17</v>
      </c>
      <c r="AC109" s="9" t="s">
        <v>5</v>
      </c>
      <c r="AD109" s="2" t="s">
        <v>63</v>
      </c>
      <c r="AE109" s="2" t="s">
        <v>63</v>
      </c>
      <c r="AF109" s="2" t="s">
        <v>63</v>
      </c>
      <c r="AG109" s="2" t="s">
        <v>63</v>
      </c>
      <c r="AH109" s="2" t="s">
        <v>63</v>
      </c>
      <c r="AI109" s="2" t="s">
        <v>63</v>
      </c>
      <c r="AJ109" s="2" t="s">
        <v>63</v>
      </c>
      <c r="AK109" s="2" t="s">
        <v>63</v>
      </c>
      <c r="AL109" s="2" t="s">
        <v>63</v>
      </c>
      <c r="AM109" s="2" t="s">
        <v>63</v>
      </c>
      <c r="AN109" s="2" t="s">
        <v>63</v>
      </c>
      <c r="AO109" s="2" t="s">
        <v>63</v>
      </c>
      <c r="AP109" s="2" t="s">
        <v>63</v>
      </c>
      <c r="AQ109" s="2" t="s">
        <v>63</v>
      </c>
      <c r="AR109" s="2" t="s">
        <v>63</v>
      </c>
      <c r="AS109" s="2" t="s">
        <v>310</v>
      </c>
    </row>
    <row r="110" spans="1:45" ht="30" x14ac:dyDescent="0.25">
      <c r="A110" s="2" t="s">
        <v>449</v>
      </c>
      <c r="B110" s="2" t="s">
        <v>155</v>
      </c>
      <c r="C110" s="2" t="s">
        <v>486</v>
      </c>
      <c r="D110" s="2" t="s">
        <v>43</v>
      </c>
      <c r="E110" s="2" t="s">
        <v>113</v>
      </c>
      <c r="F110" s="2" t="s">
        <v>6</v>
      </c>
      <c r="G110" s="2">
        <v>30</v>
      </c>
      <c r="H110" s="1">
        <v>27.5</v>
      </c>
      <c r="I110" s="1">
        <f t="shared" si="3"/>
        <v>0.91666666666666663</v>
      </c>
      <c r="J110" s="2" t="s">
        <v>12</v>
      </c>
      <c r="K110" s="2" t="s">
        <v>12</v>
      </c>
      <c r="L110" s="2" t="s">
        <v>5</v>
      </c>
      <c r="M110" s="2">
        <v>18.75</v>
      </c>
      <c r="N110" s="2">
        <f>Table13[[#This Row],[Doses per inhaler1,2]]*Table13[[#This Row],[Indicative carbon footprint /puff (g CO2e) 
Midpoint value7,8]]</f>
        <v>562.5</v>
      </c>
      <c r="O110" s="10" t="s">
        <v>676</v>
      </c>
      <c r="P110" s="3">
        <v>28</v>
      </c>
      <c r="Q110" s="3">
        <f>Table13[[#This Row],[Indicative carbon footprint /puff (g CO2e) 
Midpoint value7,8]]*Table13[[#This Row],[Number of puffs per 28 days1-4]]</f>
        <v>525</v>
      </c>
      <c r="R110" s="3">
        <f>13*Table13[[#This Row],[Indicative carbon footprint per 28 days (g CO2e)]]</f>
        <v>6825</v>
      </c>
      <c r="S110" s="3" t="str">
        <f>IF(Table13[[#This Row],[Indicative carbon footprint /puff (g CO2e) 
Midpoint value7,8]]&gt;=35,"High","Low")</f>
        <v>Low</v>
      </c>
      <c r="T110" s="3"/>
      <c r="U110" s="1">
        <f>Table13[[#This Row],[Number of puffs per 28 days1-4]]*Table13[[#This Row],[Cost/puff 1,5-7]]</f>
        <v>25.666666666666664</v>
      </c>
      <c r="V110" s="1">
        <f>Table13[[#This Row],[Indicative cost per 28 days1,5]]*13</f>
        <v>333.66666666666663</v>
      </c>
      <c r="X110" s="1" t="s">
        <v>7</v>
      </c>
      <c r="Y110" s="2" t="s">
        <v>5</v>
      </c>
      <c r="Z110" s="4" t="s">
        <v>228</v>
      </c>
      <c r="AB110" s="2" t="s">
        <v>17</v>
      </c>
      <c r="AC110" s="9" t="s">
        <v>5</v>
      </c>
      <c r="AD110" s="2" t="s">
        <v>63</v>
      </c>
      <c r="AE110" s="2" t="s">
        <v>63</v>
      </c>
      <c r="AF110" s="2" t="s">
        <v>63</v>
      </c>
      <c r="AG110" s="2" t="s">
        <v>63</v>
      </c>
      <c r="AH110" s="2" t="s">
        <v>63</v>
      </c>
      <c r="AI110" s="2" t="s">
        <v>63</v>
      </c>
      <c r="AJ110" s="2" t="s">
        <v>63</v>
      </c>
      <c r="AK110" s="2" t="s">
        <v>63</v>
      </c>
      <c r="AL110" s="2" t="s">
        <v>63</v>
      </c>
      <c r="AM110" s="2" t="s">
        <v>63</v>
      </c>
      <c r="AN110" s="2" t="s">
        <v>63</v>
      </c>
      <c r="AO110" s="2" t="s">
        <v>63</v>
      </c>
      <c r="AP110" s="2" t="s">
        <v>63</v>
      </c>
      <c r="AQ110" s="2" t="s">
        <v>63</v>
      </c>
      <c r="AR110" s="2" t="s">
        <v>63</v>
      </c>
      <c r="AS110" s="2" t="s">
        <v>310</v>
      </c>
    </row>
    <row r="111" spans="1:45" ht="120" x14ac:dyDescent="0.25">
      <c r="A111" s="2" t="s">
        <v>450</v>
      </c>
      <c r="B111" s="2" t="s">
        <v>174</v>
      </c>
      <c r="C111" s="2" t="s">
        <v>341</v>
      </c>
      <c r="D111" s="2" t="s">
        <v>18</v>
      </c>
      <c r="E111" s="2" t="s">
        <v>11</v>
      </c>
      <c r="F111" s="2" t="s">
        <v>19</v>
      </c>
      <c r="G111" s="2">
        <v>120</v>
      </c>
      <c r="H111" s="1">
        <v>18.5</v>
      </c>
      <c r="I111" s="1">
        <f t="shared" si="3"/>
        <v>0.15416666666666667</v>
      </c>
      <c r="J111" s="2" t="s">
        <v>12</v>
      </c>
      <c r="K111" s="2" t="s">
        <v>12</v>
      </c>
      <c r="L111" s="2" t="s">
        <v>13</v>
      </c>
      <c r="M111" s="2">
        <v>135.30000000000001</v>
      </c>
      <c r="N111" s="2">
        <v>16420</v>
      </c>
      <c r="O111" s="10" t="s">
        <v>669</v>
      </c>
      <c r="P111" s="3">
        <v>112</v>
      </c>
      <c r="Q111" s="3">
        <f>Table13[[#This Row],[Indicative carbon footprint /puff (g CO2e) 
Midpoint value7,8]]*Table13[[#This Row],[Number of puffs per 28 days1-4]]</f>
        <v>15153.600000000002</v>
      </c>
      <c r="R111" s="3">
        <f>13*Table13[[#This Row],[Indicative carbon footprint per 28 days (g CO2e)]]</f>
        <v>196996.80000000002</v>
      </c>
      <c r="S111" s="3" t="str">
        <f>IF(Table13[[#This Row],[Indicative carbon footprint /puff (g CO2e) 
Midpoint value7,8]]&gt;=35,"High","Low")</f>
        <v>High</v>
      </c>
      <c r="T111" s="3"/>
      <c r="U111" s="1">
        <f>Table13[[#This Row],[Number of puffs per 28 days1-4]]*Table13[[#This Row],[Cost/puff 1,5-7]]</f>
        <v>17.266666666666666</v>
      </c>
      <c r="V111" s="1">
        <f>Table13[[#This Row],[Indicative cost per 28 days1,5]]*13</f>
        <v>224.46666666666664</v>
      </c>
      <c r="X111" s="1" t="s">
        <v>14</v>
      </c>
      <c r="Y111" s="2" t="s">
        <v>210</v>
      </c>
      <c r="Z111" s="4" t="s">
        <v>229</v>
      </c>
      <c r="AA111" s="9" t="s">
        <v>16</v>
      </c>
      <c r="AB111" s="9"/>
      <c r="AC111" s="9" t="s">
        <v>5</v>
      </c>
      <c r="AD111" s="2" t="s">
        <v>561</v>
      </c>
      <c r="AE111" s="2" t="s">
        <v>63</v>
      </c>
      <c r="AF111" s="2" t="s">
        <v>63</v>
      </c>
      <c r="AG111" s="2" t="s">
        <v>63</v>
      </c>
      <c r="AH111" s="2" t="s">
        <v>63</v>
      </c>
      <c r="AI111" s="2" t="s">
        <v>230</v>
      </c>
      <c r="AJ111" s="2" t="s">
        <v>567</v>
      </c>
      <c r="AK111" s="2" t="s">
        <v>568</v>
      </c>
      <c r="AL111" s="2" t="s">
        <v>63</v>
      </c>
      <c r="AM111" s="2" t="s">
        <v>569</v>
      </c>
      <c r="AN111" s="2" t="s">
        <v>178</v>
      </c>
      <c r="AO111" s="2" t="s">
        <v>63</v>
      </c>
      <c r="AP111" s="2" t="s">
        <v>16</v>
      </c>
      <c r="AQ111" s="2">
        <v>2024</v>
      </c>
      <c r="AR111" s="2" t="s">
        <v>231</v>
      </c>
      <c r="AS111" s="2" t="s">
        <v>311</v>
      </c>
    </row>
    <row r="112" spans="1:45" ht="64.5" x14ac:dyDescent="0.25">
      <c r="A112" s="2" t="s">
        <v>451</v>
      </c>
      <c r="B112" s="2" t="s">
        <v>174</v>
      </c>
      <c r="C112" s="2" t="s">
        <v>342</v>
      </c>
      <c r="D112" s="2" t="s">
        <v>18</v>
      </c>
      <c r="E112" s="2" t="s">
        <v>11</v>
      </c>
      <c r="F112" s="2" t="s">
        <v>19</v>
      </c>
      <c r="G112" s="2">
        <v>120</v>
      </c>
      <c r="H112" s="1">
        <v>29.95</v>
      </c>
      <c r="I112" s="1">
        <f t="shared" si="3"/>
        <v>0.24958333333333332</v>
      </c>
      <c r="J112" s="2" t="s">
        <v>12</v>
      </c>
      <c r="K112" s="2" t="s">
        <v>12</v>
      </c>
      <c r="L112" s="2" t="s">
        <v>13</v>
      </c>
      <c r="M112" s="2">
        <v>137</v>
      </c>
      <c r="N112" s="2">
        <v>16270</v>
      </c>
      <c r="O112" s="10" t="s">
        <v>669</v>
      </c>
      <c r="P112" s="3">
        <v>112</v>
      </c>
      <c r="Q112" s="29">
        <f>Table13[[#This Row],[Indicative carbon footprint /puff (g CO2e) 
Midpoint value7,8]]*Table13[[#This Row],[Number of puffs per 28 days1-4]]</f>
        <v>15344</v>
      </c>
      <c r="R112" s="29">
        <f>13*Table13[[#This Row],[Indicative carbon footprint per 28 days (g CO2e)]]</f>
        <v>199472</v>
      </c>
      <c r="S112" s="3" t="str">
        <f>IF(Table13[[#This Row],[Indicative carbon footprint /puff (g CO2e) 
Midpoint value7,8]]&gt;=35,"High","Low")</f>
        <v>High</v>
      </c>
      <c r="T112" s="3"/>
      <c r="U112" s="30">
        <f>Table13[[#This Row],[Number of puffs per 28 days1-4]]*Table13[[#This Row],[Cost/puff 1,5-7]]</f>
        <v>27.953333333333333</v>
      </c>
      <c r="V112" s="1">
        <f>Table13[[#This Row],[Indicative cost per 28 days1,5]]*13</f>
        <v>363.39333333333332</v>
      </c>
      <c r="W112" s="28"/>
      <c r="X112" s="1" t="s">
        <v>14</v>
      </c>
      <c r="Y112" s="2" t="s">
        <v>210</v>
      </c>
      <c r="Z112" s="4" t="s">
        <v>232</v>
      </c>
      <c r="AA112" s="9" t="s">
        <v>16</v>
      </c>
      <c r="AB112" s="9"/>
      <c r="AC112" s="9" t="s">
        <v>5</v>
      </c>
      <c r="AD112" s="2" t="s">
        <v>561</v>
      </c>
      <c r="AE112" s="2" t="s">
        <v>63</v>
      </c>
      <c r="AF112" s="2" t="s">
        <v>63</v>
      </c>
      <c r="AG112" s="2" t="s">
        <v>63</v>
      </c>
      <c r="AH112" s="2" t="s">
        <v>63</v>
      </c>
      <c r="AI112" s="2" t="s">
        <v>63</v>
      </c>
      <c r="AJ112" s="2" t="s">
        <v>63</v>
      </c>
      <c r="AK112" s="2" t="s">
        <v>63</v>
      </c>
      <c r="AL112" s="2" t="s">
        <v>63</v>
      </c>
      <c r="AM112" s="2" t="s">
        <v>63</v>
      </c>
      <c r="AN112" s="2" t="s">
        <v>63</v>
      </c>
      <c r="AO112" s="2" t="s">
        <v>63</v>
      </c>
      <c r="AP112" s="2" t="s">
        <v>16</v>
      </c>
      <c r="AQ112" s="2">
        <v>2024</v>
      </c>
      <c r="AR112" s="2" t="s">
        <v>63</v>
      </c>
      <c r="AS112" s="2" t="s">
        <v>311</v>
      </c>
    </row>
    <row r="113" spans="1:45" ht="30" x14ac:dyDescent="0.25">
      <c r="A113" s="2" t="s">
        <v>804</v>
      </c>
      <c r="B113" s="2" t="s">
        <v>174</v>
      </c>
      <c r="C113" s="2" t="s">
        <v>423</v>
      </c>
      <c r="D113" s="2" t="s">
        <v>18</v>
      </c>
      <c r="E113" s="2" t="s">
        <v>11</v>
      </c>
      <c r="F113" s="2" t="s">
        <v>6</v>
      </c>
      <c r="G113" s="2">
        <v>60</v>
      </c>
      <c r="H113" s="1">
        <v>10.99</v>
      </c>
      <c r="I113" s="1">
        <f t="shared" si="3"/>
        <v>0.18316666666666667</v>
      </c>
      <c r="J113" s="2" t="s">
        <v>37</v>
      </c>
      <c r="K113" s="2" t="s">
        <v>37</v>
      </c>
      <c r="L113" s="2" t="s">
        <v>13</v>
      </c>
      <c r="M113" s="2" t="s">
        <v>808</v>
      </c>
      <c r="O113" s="10" t="s">
        <v>5</v>
      </c>
      <c r="P113" s="3">
        <v>56</v>
      </c>
      <c r="Q113" s="3" t="e">
        <f>Table13[[#This Row],[Indicative carbon footprint /puff (g CO2e) 
Midpoint value7,8]]*Table13[[#This Row],[Number of puffs per 28 days1-4]]</f>
        <v>#VALUE!</v>
      </c>
      <c r="R113" s="3" t="e">
        <f>13*Table13[[#This Row],[Indicative carbon footprint per 28 days (g CO2e)]]</f>
        <v>#VALUE!</v>
      </c>
      <c r="S113" s="3" t="str">
        <f>IF(Table13[[#This Row],[Indicative carbon footprint /puff (g CO2e) 
Midpoint value7,8]]&gt;=35,"High","Low")</f>
        <v>High</v>
      </c>
      <c r="T113" s="3"/>
      <c r="U113" s="1">
        <f>Table13[[#This Row],[NHS cost per inhaler 1,5-7]]/Table13[[#This Row],[Doses per inhaler1,2]]*56</f>
        <v>10.257333333333333</v>
      </c>
      <c r="V113" s="1">
        <f>Table13[[#This Row],[Indicative cost per 28 days1,5]]*13</f>
        <v>133.34533333333334</v>
      </c>
      <c r="W113" s="1"/>
      <c r="X113" s="1"/>
      <c r="Y113" s="2" t="s">
        <v>5</v>
      </c>
      <c r="Z113" s="4" t="s">
        <v>805</v>
      </c>
      <c r="AB113" s="2" t="s">
        <v>5</v>
      </c>
      <c r="AC113" s="11" t="s">
        <v>5</v>
      </c>
      <c r="AP113" s="2" t="s">
        <v>5</v>
      </c>
      <c r="AS113" s="10" t="s">
        <v>313</v>
      </c>
    </row>
    <row r="114" spans="1:45" ht="30" x14ac:dyDescent="0.25">
      <c r="A114" s="2" t="s">
        <v>806</v>
      </c>
      <c r="B114" s="2" t="s">
        <v>174</v>
      </c>
      <c r="C114" s="2" t="s">
        <v>337</v>
      </c>
      <c r="D114" s="2" t="s">
        <v>10</v>
      </c>
      <c r="E114" s="2" t="s">
        <v>11</v>
      </c>
      <c r="F114" s="2" t="s">
        <v>6</v>
      </c>
      <c r="G114" s="2">
        <v>60</v>
      </c>
      <c r="H114" s="1">
        <v>10.99</v>
      </c>
      <c r="I114" s="1">
        <f t="shared" si="3"/>
        <v>0.18316666666666667</v>
      </c>
      <c r="J114" s="2" t="s">
        <v>632</v>
      </c>
      <c r="K114" s="2" t="s">
        <v>632</v>
      </c>
      <c r="L114" s="2" t="s">
        <v>13</v>
      </c>
      <c r="M114" s="2" t="s">
        <v>808</v>
      </c>
      <c r="O114" s="10"/>
      <c r="Q114" s="3" t="e">
        <f>Table13[[#This Row],[Indicative carbon footprint /puff (g CO2e) 
Midpoint value7,8]]*Table13[[#This Row],[Number of puffs per 28 days1-4]]</f>
        <v>#VALUE!</v>
      </c>
      <c r="R114" s="37" t="e">
        <f>13*Table13[[#This Row],[Indicative carbon footprint per 28 days (g CO2e)]]</f>
        <v>#VALUE!</v>
      </c>
      <c r="S114" s="3" t="str">
        <f>IF(Table13[[#This Row],[Indicative carbon footprint /puff (g CO2e) 
Midpoint value7,8]]&gt;=35,"High","Low")</f>
        <v>High</v>
      </c>
      <c r="T114" s="3"/>
      <c r="W114" s="1"/>
      <c r="X114" s="1"/>
      <c r="Z114" s="4" t="s">
        <v>807</v>
      </c>
      <c r="AC114" s="11"/>
      <c r="AS114" s="10"/>
    </row>
    <row r="115" spans="1:45" ht="105" x14ac:dyDescent="0.25">
      <c r="A115" s="2" t="s">
        <v>452</v>
      </c>
      <c r="B115" s="2" t="s">
        <v>41</v>
      </c>
      <c r="C115" s="2" t="s">
        <v>453</v>
      </c>
      <c r="D115" s="2" t="s">
        <v>18</v>
      </c>
      <c r="E115" s="2" t="s">
        <v>11</v>
      </c>
      <c r="F115" s="2" t="s">
        <v>6</v>
      </c>
      <c r="G115" s="2">
        <v>60</v>
      </c>
      <c r="H115" s="1">
        <v>17.46</v>
      </c>
      <c r="I115" s="1">
        <f t="shared" si="3"/>
        <v>0.29100000000000004</v>
      </c>
      <c r="J115" s="2" t="s">
        <v>26</v>
      </c>
      <c r="K115" s="2" t="s">
        <v>96</v>
      </c>
      <c r="L115" s="2" t="s">
        <v>13</v>
      </c>
      <c r="M115" s="2">
        <v>15</v>
      </c>
      <c r="N115" s="2">
        <v>898</v>
      </c>
      <c r="O115" s="10" t="s">
        <v>671</v>
      </c>
      <c r="P115" s="3">
        <v>56</v>
      </c>
      <c r="Q115" s="3">
        <f>Table13[[#This Row],[Indicative carbon footprint /puff (g CO2e) 
Midpoint value7,8]]*Table13[[#This Row],[Number of puffs per 28 days1-4]]</f>
        <v>840</v>
      </c>
      <c r="R115" s="3">
        <f>13*Table13[[#This Row],[Indicative carbon footprint per 28 days (g CO2e)]]</f>
        <v>10920</v>
      </c>
      <c r="S115" s="3" t="str">
        <f>IF(Table13[[#This Row],[Indicative carbon footprint /puff (g CO2e) 
Midpoint value7,8]]&gt;=35,"High","Low")</f>
        <v>Low</v>
      </c>
      <c r="T115" s="3"/>
      <c r="U115" s="1">
        <f>Table13[[#This Row],[Number of puffs per 28 days1-4]]*Table13[[#This Row],[Cost/puff 1,5-7]]</f>
        <v>16.296000000000003</v>
      </c>
      <c r="V115" s="1">
        <f>Table13[[#This Row],[Indicative cost per 28 days1,5]]*13</f>
        <v>211.84800000000004</v>
      </c>
      <c r="X115" s="1" t="s">
        <v>14</v>
      </c>
      <c r="Y115" s="2" t="s">
        <v>5</v>
      </c>
      <c r="Z115" s="4" t="s">
        <v>233</v>
      </c>
      <c r="AA115" s="2" t="s">
        <v>45</v>
      </c>
      <c r="AB115" s="2" t="s">
        <v>5</v>
      </c>
      <c r="AC115" s="9" t="s">
        <v>5</v>
      </c>
      <c r="AD115" s="2" t="s">
        <v>234</v>
      </c>
      <c r="AE115" s="2">
        <v>250</v>
      </c>
      <c r="AF115" s="2">
        <v>341</v>
      </c>
      <c r="AG115" s="2" t="s">
        <v>323</v>
      </c>
      <c r="AH115" s="2" t="s">
        <v>322</v>
      </c>
      <c r="AI115" s="2">
        <v>116</v>
      </c>
      <c r="AJ115" s="2" t="s">
        <v>324</v>
      </c>
      <c r="AK115" s="2" t="s">
        <v>324</v>
      </c>
      <c r="AL115" s="2">
        <v>61</v>
      </c>
      <c r="AM115" s="2">
        <v>123</v>
      </c>
      <c r="AN115" s="2">
        <v>9</v>
      </c>
      <c r="AO115" s="2" t="s">
        <v>63</v>
      </c>
      <c r="AP115" s="2" t="s">
        <v>5</v>
      </c>
      <c r="AQ115" s="2" t="s">
        <v>5</v>
      </c>
      <c r="AR115" s="2" t="s">
        <v>47</v>
      </c>
      <c r="AS115" s="2" t="s">
        <v>310</v>
      </c>
    </row>
    <row r="116" spans="1:45" ht="105" x14ac:dyDescent="0.25">
      <c r="A116" s="2" t="s">
        <v>454</v>
      </c>
      <c r="B116" s="2" t="s">
        <v>41</v>
      </c>
      <c r="C116" s="2" t="s">
        <v>423</v>
      </c>
      <c r="D116" s="2" t="s">
        <v>18</v>
      </c>
      <c r="E116" s="2" t="s">
        <v>11</v>
      </c>
      <c r="F116" s="2" t="s">
        <v>6</v>
      </c>
      <c r="G116" s="2">
        <v>60</v>
      </c>
      <c r="H116" s="1">
        <v>33.950000000000003</v>
      </c>
      <c r="I116" s="1">
        <f t="shared" si="3"/>
        <v>0.56583333333333341</v>
      </c>
      <c r="J116" s="2" t="s">
        <v>37</v>
      </c>
      <c r="K116" s="2" t="s">
        <v>37</v>
      </c>
      <c r="L116" s="2" t="s">
        <v>13</v>
      </c>
      <c r="M116" s="2">
        <v>15</v>
      </c>
      <c r="N116" s="2">
        <v>898</v>
      </c>
      <c r="O116" s="10" t="s">
        <v>671</v>
      </c>
      <c r="P116" s="3">
        <v>56</v>
      </c>
      <c r="Q116" s="3">
        <f>Table13[[#This Row],[Indicative carbon footprint /puff (g CO2e) 
Midpoint value7,8]]*Table13[[#This Row],[Number of puffs per 28 days1-4]]</f>
        <v>840</v>
      </c>
      <c r="R116" s="3">
        <f>13*Table13[[#This Row],[Indicative carbon footprint per 28 days (g CO2e)]]</f>
        <v>10920</v>
      </c>
      <c r="S116" s="3" t="str">
        <f>IF(Table13[[#This Row],[Indicative carbon footprint /puff (g CO2e) 
Midpoint value7,8]]&gt;=35,"High","Low")</f>
        <v>Low</v>
      </c>
      <c r="T116" s="3"/>
      <c r="U116" s="1">
        <f>Table13[[#This Row],[Number of puffs per 28 days1-4]]*Table13[[#This Row],[Cost/puff 1,5-7]]</f>
        <v>31.686666666666671</v>
      </c>
      <c r="V116" s="1">
        <f>Table13[[#This Row],[Indicative cost per 28 days1,5]]*13</f>
        <v>411.92666666666673</v>
      </c>
      <c r="X116" s="1" t="s">
        <v>14</v>
      </c>
      <c r="Y116" s="2" t="s">
        <v>5</v>
      </c>
      <c r="Z116" s="4" t="s">
        <v>235</v>
      </c>
      <c r="AA116" s="2" t="s">
        <v>45</v>
      </c>
      <c r="AB116" s="2" t="s">
        <v>5</v>
      </c>
      <c r="AC116" s="9" t="s">
        <v>5</v>
      </c>
      <c r="AD116" s="2" t="s">
        <v>234</v>
      </c>
      <c r="AE116" s="2">
        <v>250</v>
      </c>
      <c r="AF116" s="2">
        <v>341</v>
      </c>
      <c r="AG116" s="2" t="s">
        <v>515</v>
      </c>
      <c r="AH116" s="2" t="s">
        <v>322</v>
      </c>
      <c r="AI116" s="2">
        <v>116</v>
      </c>
      <c r="AJ116" s="2" t="s">
        <v>516</v>
      </c>
      <c r="AK116" s="2" t="s">
        <v>516</v>
      </c>
      <c r="AL116" s="2">
        <v>61</v>
      </c>
      <c r="AM116" s="2">
        <v>123</v>
      </c>
      <c r="AN116" s="2">
        <v>9</v>
      </c>
      <c r="AO116" s="2" t="s">
        <v>63</v>
      </c>
      <c r="AP116" s="2" t="s">
        <v>5</v>
      </c>
      <c r="AQ116" s="2" t="s">
        <v>5</v>
      </c>
      <c r="AR116" s="2" t="s">
        <v>47</v>
      </c>
      <c r="AS116" s="10" t="s">
        <v>310</v>
      </c>
    </row>
    <row r="117" spans="1:45" ht="105" x14ac:dyDescent="0.25">
      <c r="A117" s="2" t="s">
        <v>455</v>
      </c>
      <c r="B117" s="2" t="s">
        <v>41</v>
      </c>
      <c r="C117" s="2" t="s">
        <v>337</v>
      </c>
      <c r="D117" s="2" t="s">
        <v>10</v>
      </c>
      <c r="E117" s="2" t="s">
        <v>11</v>
      </c>
      <c r="F117" s="2" t="s">
        <v>6</v>
      </c>
      <c r="G117" s="2">
        <v>60</v>
      </c>
      <c r="H117" s="1">
        <v>32.74</v>
      </c>
      <c r="I117" s="1">
        <f t="shared" si="3"/>
        <v>0.54566666666666674</v>
      </c>
      <c r="J117" s="2" t="s">
        <v>37</v>
      </c>
      <c r="K117" s="2" t="s">
        <v>37</v>
      </c>
      <c r="L117" s="2" t="s">
        <v>13</v>
      </c>
      <c r="M117" s="2">
        <v>15</v>
      </c>
      <c r="N117" s="2">
        <v>898</v>
      </c>
      <c r="O117" s="10" t="s">
        <v>671</v>
      </c>
      <c r="P117" s="3">
        <v>56</v>
      </c>
      <c r="Q117" s="3">
        <f>Table13[[#This Row],[Indicative carbon footprint /puff (g CO2e) 
Midpoint value7,8]]*Table13[[#This Row],[Number of puffs per 28 days1-4]]</f>
        <v>840</v>
      </c>
      <c r="R117" s="3">
        <f>13*Table13[[#This Row],[Indicative carbon footprint per 28 days (g CO2e)]]</f>
        <v>10920</v>
      </c>
      <c r="S117" s="3" t="str">
        <f>IF(Table13[[#This Row],[Indicative carbon footprint /puff (g CO2e) 
Midpoint value7,8]]&gt;=35,"High","Low")</f>
        <v>Low</v>
      </c>
      <c r="T117" s="3"/>
      <c r="U117" s="1">
        <f>Table13[[#This Row],[Number of puffs per 28 days1-4]]*Table13[[#This Row],[Cost/puff 1,5-7]]</f>
        <v>30.557333333333339</v>
      </c>
      <c r="V117" s="1">
        <f>Table13[[#This Row],[Indicative cost per 28 days1,5]]*13</f>
        <v>397.24533333333341</v>
      </c>
      <c r="X117" s="1" t="s">
        <v>14</v>
      </c>
      <c r="Y117" s="2" t="s">
        <v>5</v>
      </c>
      <c r="Z117" s="4" t="s">
        <v>236</v>
      </c>
      <c r="AA117" s="2" t="s">
        <v>45</v>
      </c>
      <c r="AB117" s="2" t="s">
        <v>5</v>
      </c>
      <c r="AC117" s="9" t="s">
        <v>5</v>
      </c>
      <c r="AD117" s="2" t="s">
        <v>234</v>
      </c>
      <c r="AE117" s="2">
        <v>250</v>
      </c>
      <c r="AF117" s="2">
        <v>341</v>
      </c>
      <c r="AG117" s="2" t="s">
        <v>515</v>
      </c>
      <c r="AH117" s="2" t="s">
        <v>322</v>
      </c>
      <c r="AI117" s="2">
        <v>116</v>
      </c>
      <c r="AJ117" s="2" t="s">
        <v>516</v>
      </c>
      <c r="AK117" s="2" t="s">
        <v>516</v>
      </c>
      <c r="AL117" s="2">
        <v>61</v>
      </c>
      <c r="AM117" s="2">
        <v>123</v>
      </c>
      <c r="AN117" s="2">
        <v>9</v>
      </c>
      <c r="AO117" s="2" t="s">
        <v>63</v>
      </c>
      <c r="AP117" s="2" t="s">
        <v>5</v>
      </c>
      <c r="AQ117" s="2" t="s">
        <v>5</v>
      </c>
      <c r="AR117" s="2" t="s">
        <v>47</v>
      </c>
      <c r="AS117" s="10" t="s">
        <v>310</v>
      </c>
    </row>
    <row r="118" spans="1:45" ht="105" x14ac:dyDescent="0.25">
      <c r="A118" s="2" t="s">
        <v>456</v>
      </c>
      <c r="B118" s="2" t="s">
        <v>41</v>
      </c>
      <c r="C118" s="2" t="s">
        <v>341</v>
      </c>
      <c r="D118" s="2" t="s">
        <v>18</v>
      </c>
      <c r="E118" s="2" t="s">
        <v>11</v>
      </c>
      <c r="F118" s="2" t="s">
        <v>19</v>
      </c>
      <c r="G118" s="2">
        <v>120</v>
      </c>
      <c r="H118" s="1">
        <v>23.45</v>
      </c>
      <c r="I118" s="1">
        <f t="shared" si="3"/>
        <v>0.19541666666666666</v>
      </c>
      <c r="J118" s="2" t="s">
        <v>37</v>
      </c>
      <c r="K118" s="2" t="s">
        <v>37</v>
      </c>
      <c r="L118" s="2" t="s">
        <v>13</v>
      </c>
      <c r="M118" s="2">
        <v>162</v>
      </c>
      <c r="N118" s="2">
        <v>19485</v>
      </c>
      <c r="O118" s="10" t="s">
        <v>671</v>
      </c>
      <c r="P118" s="3">
        <v>112</v>
      </c>
      <c r="Q118" s="3">
        <f>Table13[[#This Row],[Indicative carbon footprint /puff (g CO2e) 
Midpoint value7,8]]*Table13[[#This Row],[Number of puffs per 28 days1-4]]</f>
        <v>18144</v>
      </c>
      <c r="R118" s="3">
        <f>13*Table13[[#This Row],[Indicative carbon footprint per 28 days (g CO2e)]]</f>
        <v>235872</v>
      </c>
      <c r="S118" s="3" t="str">
        <f>IF(Table13[[#This Row],[Indicative carbon footprint /puff (g CO2e) 
Midpoint value7,8]]&gt;=35,"High","Low")</f>
        <v>High</v>
      </c>
      <c r="T118" s="3"/>
      <c r="U118" s="1">
        <f>Table13[[#This Row],[Number of puffs per 28 days1-4]]*Table13[[#This Row],[Cost/puff 1,5-7]]</f>
        <v>21.886666666666667</v>
      </c>
      <c r="V118" s="1">
        <f>Table13[[#This Row],[Indicative cost per 28 days1,5]]*13</f>
        <v>284.52666666666664</v>
      </c>
      <c r="X118" s="1" t="s">
        <v>14</v>
      </c>
      <c r="Y118" s="2" t="s">
        <v>210</v>
      </c>
      <c r="Z118" s="4" t="s">
        <v>237</v>
      </c>
      <c r="AA118" s="2" t="s">
        <v>45</v>
      </c>
      <c r="AD118" s="2" t="s">
        <v>46</v>
      </c>
      <c r="AE118" s="2">
        <v>79</v>
      </c>
      <c r="AF118" s="2">
        <v>65</v>
      </c>
      <c r="AG118" s="2" t="s">
        <v>515</v>
      </c>
      <c r="AH118" s="2" t="s">
        <v>322</v>
      </c>
      <c r="AI118" s="2">
        <v>2061</v>
      </c>
      <c r="AJ118" s="2" t="s">
        <v>516</v>
      </c>
      <c r="AK118" s="2" t="s">
        <v>516</v>
      </c>
      <c r="AL118" s="2">
        <v>33</v>
      </c>
      <c r="AM118" s="2">
        <v>10678</v>
      </c>
      <c r="AN118" s="2">
        <v>6084</v>
      </c>
      <c r="AO118" s="2" t="s">
        <v>63</v>
      </c>
      <c r="AP118" s="2" t="s">
        <v>238</v>
      </c>
      <c r="AQ118" s="2" t="s">
        <v>63</v>
      </c>
      <c r="AR118" s="2" t="s">
        <v>47</v>
      </c>
      <c r="AS118" s="2" t="s">
        <v>311</v>
      </c>
    </row>
    <row r="119" spans="1:45" ht="105" x14ac:dyDescent="0.25">
      <c r="A119" s="2" t="s">
        <v>457</v>
      </c>
      <c r="B119" s="2" t="s">
        <v>41</v>
      </c>
      <c r="C119" s="2" t="s">
        <v>342</v>
      </c>
      <c r="D119" s="2" t="s">
        <v>18</v>
      </c>
      <c r="E119" s="2" t="s">
        <v>11</v>
      </c>
      <c r="F119" s="2" t="s">
        <v>19</v>
      </c>
      <c r="G119" s="2">
        <v>120</v>
      </c>
      <c r="H119" s="1">
        <v>29.32</v>
      </c>
      <c r="I119" s="1">
        <f t="shared" si="3"/>
        <v>0.24433333333333335</v>
      </c>
      <c r="J119" s="2" t="s">
        <v>37</v>
      </c>
      <c r="K119" s="2" t="s">
        <v>37</v>
      </c>
      <c r="L119" s="2" t="s">
        <v>13</v>
      </c>
      <c r="M119" s="2">
        <v>162</v>
      </c>
      <c r="N119" s="2">
        <v>19485</v>
      </c>
      <c r="O119" s="10" t="s">
        <v>671</v>
      </c>
      <c r="P119" s="3">
        <v>112</v>
      </c>
      <c r="Q119" s="3">
        <f>Table13[[#This Row],[Indicative carbon footprint /puff (g CO2e) 
Midpoint value7,8]]*Table13[[#This Row],[Number of puffs per 28 days1-4]]</f>
        <v>18144</v>
      </c>
      <c r="R119" s="3">
        <f>13*Table13[[#This Row],[Indicative carbon footprint per 28 days (g CO2e)]]</f>
        <v>235872</v>
      </c>
      <c r="S119" s="3" t="str">
        <f>IF(Table13[[#This Row],[Indicative carbon footprint /puff (g CO2e) 
Midpoint value7,8]]&gt;=35,"High","Low")</f>
        <v>High</v>
      </c>
      <c r="T119" s="3"/>
      <c r="U119" s="1">
        <f>Table13[[#This Row],[Number of puffs per 28 days1-4]]*Table13[[#This Row],[Cost/puff 1,5-7]]</f>
        <v>27.365333333333336</v>
      </c>
      <c r="V119" s="1">
        <f>Table13[[#This Row],[Indicative cost per 28 days1,5]]*13</f>
        <v>355.74933333333337</v>
      </c>
      <c r="X119" s="1" t="s">
        <v>14</v>
      </c>
      <c r="Y119" s="2" t="s">
        <v>210</v>
      </c>
      <c r="Z119" s="4" t="s">
        <v>239</v>
      </c>
      <c r="AA119" s="2" t="s">
        <v>45</v>
      </c>
      <c r="AD119" s="2" t="s">
        <v>46</v>
      </c>
      <c r="AE119" s="2">
        <v>79</v>
      </c>
      <c r="AF119" s="2">
        <v>65</v>
      </c>
      <c r="AG119" s="2" t="s">
        <v>515</v>
      </c>
      <c r="AH119" s="2" t="s">
        <v>322</v>
      </c>
      <c r="AI119" s="2">
        <v>2061</v>
      </c>
      <c r="AJ119" s="2" t="s">
        <v>516</v>
      </c>
      <c r="AK119" s="2" t="s">
        <v>516</v>
      </c>
      <c r="AL119" s="2">
        <v>33</v>
      </c>
      <c r="AM119" s="2">
        <v>10678</v>
      </c>
      <c r="AN119" s="2">
        <v>6084</v>
      </c>
      <c r="AO119" s="2" t="s">
        <v>63</v>
      </c>
      <c r="AP119" s="2" t="s">
        <v>238</v>
      </c>
      <c r="AQ119" s="2" t="s">
        <v>63</v>
      </c>
      <c r="AR119" s="2" t="s">
        <v>47</v>
      </c>
      <c r="AS119" s="2" t="s">
        <v>311</v>
      </c>
    </row>
    <row r="120" spans="1:45" ht="105" x14ac:dyDescent="0.25">
      <c r="A120" s="2" t="s">
        <v>458</v>
      </c>
      <c r="B120" s="2" t="s">
        <v>41</v>
      </c>
      <c r="C120" s="2" t="s">
        <v>378</v>
      </c>
      <c r="D120" s="2" t="s">
        <v>18</v>
      </c>
      <c r="E120" s="2" t="s">
        <v>11</v>
      </c>
      <c r="F120" s="2" t="s">
        <v>19</v>
      </c>
      <c r="G120" s="2">
        <v>120</v>
      </c>
      <c r="H120" s="1">
        <v>17.46</v>
      </c>
      <c r="I120" s="1">
        <f t="shared" si="3"/>
        <v>0.14550000000000002</v>
      </c>
      <c r="J120" s="2" t="s">
        <v>26</v>
      </c>
      <c r="K120" s="2" t="s">
        <v>96</v>
      </c>
      <c r="L120" s="2" t="s">
        <v>13</v>
      </c>
      <c r="M120" s="2">
        <v>162</v>
      </c>
      <c r="N120" s="2">
        <v>19485</v>
      </c>
      <c r="O120" s="10" t="s">
        <v>671</v>
      </c>
      <c r="P120" s="3">
        <v>112</v>
      </c>
      <c r="Q120" s="3">
        <f>Table13[[#This Row],[Indicative carbon footprint /puff (g CO2e) 
Midpoint value7,8]]*Table13[[#This Row],[Number of puffs per 28 days1-4]]</f>
        <v>18144</v>
      </c>
      <c r="R120" s="3">
        <f>13*Table13[[#This Row],[Indicative carbon footprint per 28 days (g CO2e)]]</f>
        <v>235872</v>
      </c>
      <c r="S120" s="3" t="str">
        <f>IF(Table13[[#This Row],[Indicative carbon footprint /puff (g CO2e) 
Midpoint value7,8]]&gt;=35,"High","Low")</f>
        <v>High</v>
      </c>
      <c r="T120" s="3"/>
      <c r="U120" s="1">
        <f>Table13[[#This Row],[Number of puffs per 28 days1-4]]*Table13[[#This Row],[Cost/puff 1,5-7]]</f>
        <v>16.296000000000003</v>
      </c>
      <c r="V120" s="1">
        <f>Table13[[#This Row],[Indicative cost per 28 days1,5]]*13</f>
        <v>211.84800000000004</v>
      </c>
      <c r="X120" s="1" t="s">
        <v>14</v>
      </c>
      <c r="Y120" s="2" t="s">
        <v>210</v>
      </c>
      <c r="Z120" s="4" t="s">
        <v>693</v>
      </c>
      <c r="AA120" s="2" t="s">
        <v>45</v>
      </c>
      <c r="AD120" s="2" t="s">
        <v>46</v>
      </c>
      <c r="AE120" s="2">
        <v>79</v>
      </c>
      <c r="AF120" s="2">
        <v>65</v>
      </c>
      <c r="AG120" s="2" t="s">
        <v>515</v>
      </c>
      <c r="AH120" s="2" t="s">
        <v>322</v>
      </c>
      <c r="AI120" s="2">
        <v>2061</v>
      </c>
      <c r="AJ120" s="2" t="s">
        <v>516</v>
      </c>
      <c r="AK120" s="2" t="s">
        <v>516</v>
      </c>
      <c r="AL120" s="2">
        <v>33</v>
      </c>
      <c r="AM120" s="2">
        <v>10678</v>
      </c>
      <c r="AN120" s="2">
        <v>6084</v>
      </c>
      <c r="AO120" s="2" t="s">
        <v>63</v>
      </c>
      <c r="AP120" s="2" t="s">
        <v>238</v>
      </c>
      <c r="AQ120" s="2" t="s">
        <v>63</v>
      </c>
      <c r="AR120" s="2" t="s">
        <v>47</v>
      </c>
      <c r="AS120" s="2" t="s">
        <v>311</v>
      </c>
    </row>
    <row r="121" spans="1:45" ht="105" x14ac:dyDescent="0.25">
      <c r="A121" s="2" t="s">
        <v>459</v>
      </c>
      <c r="B121" s="2" t="s">
        <v>41</v>
      </c>
      <c r="C121" s="2" t="s">
        <v>460</v>
      </c>
      <c r="D121" s="2" t="s">
        <v>10</v>
      </c>
      <c r="E121" s="2" t="s">
        <v>61</v>
      </c>
      <c r="F121" s="2" t="s">
        <v>6</v>
      </c>
      <c r="G121" s="2">
        <v>60</v>
      </c>
      <c r="H121" s="1">
        <v>35.11</v>
      </c>
      <c r="I121" s="1">
        <f t="shared" si="3"/>
        <v>0.58516666666666661</v>
      </c>
      <c r="J121" s="2" t="s">
        <v>26</v>
      </c>
      <c r="K121" s="2" t="s">
        <v>240</v>
      </c>
      <c r="L121" s="2" t="s">
        <v>5</v>
      </c>
      <c r="M121" s="2">
        <v>12</v>
      </c>
      <c r="N121" s="2">
        <v>732</v>
      </c>
      <c r="O121" s="10" t="s">
        <v>671</v>
      </c>
      <c r="P121" s="3">
        <v>56</v>
      </c>
      <c r="Q121" s="3">
        <f>Table13[[#This Row],[Indicative carbon footprint /puff (g CO2e) 
Midpoint value7,8]]*Table13[[#This Row],[Number of puffs per 28 days1-4]]</f>
        <v>672</v>
      </c>
      <c r="R121" s="26">
        <f>13*Table13[[#This Row],[Indicative carbon footprint per 28 days (g CO2e)]]</f>
        <v>8736</v>
      </c>
      <c r="S121" s="3" t="str">
        <f>IF(Table13[[#This Row],[Indicative carbon footprint /puff (g CO2e) 
Midpoint value7,8]]&gt;=35,"High","Low")</f>
        <v>Low</v>
      </c>
      <c r="T121" s="3"/>
      <c r="U121" s="1">
        <f>Table13[[#This Row],[Number of puffs per 28 days1-4]]*Table13[[#This Row],[Cost/puff 1,5-7]]</f>
        <v>32.769333333333329</v>
      </c>
      <c r="V121" s="1">
        <f>Table13[[#This Row],[Indicative cost per 28 days1,5]]*13</f>
        <v>426.00133333333326</v>
      </c>
      <c r="X121" s="1" t="s">
        <v>14</v>
      </c>
      <c r="Y121" s="2" t="s">
        <v>5</v>
      </c>
      <c r="Z121" s="4" t="s">
        <v>241</v>
      </c>
      <c r="AA121" s="2" t="s">
        <v>45</v>
      </c>
      <c r="AB121" s="2" t="s">
        <v>5</v>
      </c>
      <c r="AC121" s="9" t="s">
        <v>5</v>
      </c>
      <c r="AD121" s="2" t="s">
        <v>46</v>
      </c>
      <c r="AE121" s="2">
        <v>9</v>
      </c>
      <c r="AF121" s="2">
        <v>372</v>
      </c>
      <c r="AG121" s="2" t="s">
        <v>515</v>
      </c>
      <c r="AH121" s="2" t="s">
        <v>322</v>
      </c>
      <c r="AI121" s="2">
        <v>180</v>
      </c>
      <c r="AJ121" s="2" t="s">
        <v>516</v>
      </c>
      <c r="AK121" s="2" t="s">
        <v>516</v>
      </c>
      <c r="AL121" s="2">
        <v>63</v>
      </c>
      <c r="AM121" s="2">
        <v>126</v>
      </c>
      <c r="AN121" s="2">
        <v>9</v>
      </c>
      <c r="AO121" s="2" t="s">
        <v>63</v>
      </c>
      <c r="AP121" s="2" t="s">
        <v>5</v>
      </c>
      <c r="AQ121" s="2" t="s">
        <v>5</v>
      </c>
      <c r="AR121" s="2" t="s">
        <v>47</v>
      </c>
      <c r="AS121" s="2" t="s">
        <v>310</v>
      </c>
    </row>
    <row r="122" spans="1:45" ht="120" x14ac:dyDescent="0.25">
      <c r="A122" s="2" t="s">
        <v>461</v>
      </c>
      <c r="B122" s="2" t="s">
        <v>41</v>
      </c>
      <c r="C122" s="2" t="s">
        <v>462</v>
      </c>
      <c r="D122" s="2" t="s">
        <v>10</v>
      </c>
      <c r="E122" s="2" t="s">
        <v>61</v>
      </c>
      <c r="F122" s="2" t="s">
        <v>19</v>
      </c>
      <c r="G122" s="2">
        <v>120</v>
      </c>
      <c r="H122" s="1">
        <v>29.26</v>
      </c>
      <c r="I122" s="1">
        <f t="shared" si="3"/>
        <v>0.24383333333333335</v>
      </c>
      <c r="J122" s="2" t="s">
        <v>26</v>
      </c>
      <c r="K122" s="2" t="s">
        <v>96</v>
      </c>
      <c r="L122" s="2" t="s">
        <v>5</v>
      </c>
      <c r="M122" s="2">
        <v>158</v>
      </c>
      <c r="N122" s="2">
        <v>19223</v>
      </c>
      <c r="O122" s="10" t="s">
        <v>671</v>
      </c>
      <c r="P122" s="3">
        <v>112</v>
      </c>
      <c r="Q122" s="3">
        <f>Table13[[#This Row],[Indicative carbon footprint /puff (g CO2e) 
Midpoint value7,8]]*Table13[[#This Row],[Number of puffs per 28 days1-4]]</f>
        <v>17696</v>
      </c>
      <c r="R122" s="26">
        <f>13*Table13[[#This Row],[Indicative carbon footprint per 28 days (g CO2e)]]</f>
        <v>230048</v>
      </c>
      <c r="S122" s="3" t="str">
        <f>IF(Table13[[#This Row],[Indicative carbon footprint /puff (g CO2e) 
Midpoint value7,8]]&gt;=35,"High","Low")</f>
        <v>High</v>
      </c>
      <c r="T122" s="3"/>
      <c r="U122" s="1">
        <f>Table13[[#This Row],[Number of puffs per 28 days1-4]]*Table13[[#This Row],[Cost/puff 1,5-7]]</f>
        <v>27.309333333333335</v>
      </c>
      <c r="V122" s="1">
        <f>Table13[[#This Row],[Indicative cost per 28 days1,5]]*13</f>
        <v>355.02133333333336</v>
      </c>
      <c r="X122" s="1" t="s">
        <v>14</v>
      </c>
      <c r="Y122" s="2" t="s">
        <v>210</v>
      </c>
      <c r="Z122" s="4" t="s">
        <v>242</v>
      </c>
      <c r="AA122" s="2" t="s">
        <v>45</v>
      </c>
      <c r="AD122" s="2" t="s">
        <v>46</v>
      </c>
      <c r="AE122" s="2">
        <v>25</v>
      </c>
      <c r="AF122" s="2">
        <v>60</v>
      </c>
      <c r="AG122" s="2" t="s">
        <v>515</v>
      </c>
      <c r="AH122" s="2" t="s">
        <v>322</v>
      </c>
      <c r="AI122" s="2">
        <v>1908</v>
      </c>
      <c r="AJ122" s="2" t="s">
        <v>516</v>
      </c>
      <c r="AK122" s="2" t="s">
        <v>516</v>
      </c>
      <c r="AL122" s="2">
        <v>30</v>
      </c>
      <c r="AM122" s="2">
        <v>11308</v>
      </c>
      <c r="AN122" s="2">
        <v>5670</v>
      </c>
      <c r="AO122" s="2" t="s">
        <v>238</v>
      </c>
      <c r="AP122" s="2" t="s">
        <v>63</v>
      </c>
      <c r="AQ122" s="2" t="s">
        <v>63</v>
      </c>
      <c r="AR122" s="2" t="s">
        <v>63</v>
      </c>
      <c r="AS122" s="2">
        <v>130</v>
      </c>
    </row>
    <row r="123" spans="1:45" ht="30" x14ac:dyDescent="0.25">
      <c r="A123" s="2" t="s">
        <v>463</v>
      </c>
      <c r="B123" s="2" t="s">
        <v>32</v>
      </c>
      <c r="C123" s="2" t="s">
        <v>341</v>
      </c>
      <c r="D123" s="2" t="s">
        <v>18</v>
      </c>
      <c r="E123" s="2" t="s">
        <v>11</v>
      </c>
      <c r="F123" s="2" t="s">
        <v>19</v>
      </c>
      <c r="G123" s="2">
        <v>120</v>
      </c>
      <c r="H123" s="1">
        <v>22.45</v>
      </c>
      <c r="I123" s="1">
        <f t="shared" si="3"/>
        <v>0.18708333333333332</v>
      </c>
      <c r="J123" s="2" t="s">
        <v>12</v>
      </c>
      <c r="K123" s="2" t="s">
        <v>12</v>
      </c>
      <c r="L123" s="2" t="s">
        <v>13</v>
      </c>
      <c r="M123" s="2">
        <v>163.5</v>
      </c>
      <c r="N123" s="2">
        <f>Table13[[#This Row],[Doses per inhaler1,2]]*Table13[[#This Row],[Indicative carbon footprint /puff (g CO2e) 
Midpoint value7,8]]</f>
        <v>19620</v>
      </c>
      <c r="O123" s="10" t="s">
        <v>676</v>
      </c>
      <c r="P123" s="3">
        <v>112</v>
      </c>
      <c r="Q123" s="3">
        <f>Table13[[#This Row],[Indicative carbon footprint /puff (g CO2e) 
Midpoint value7,8]]*Table13[[#This Row],[Number of puffs per 28 days1-4]]</f>
        <v>18312</v>
      </c>
      <c r="R123" s="3">
        <f>13*Table13[[#This Row],[Indicative carbon footprint per 28 days (g CO2e)]]</f>
        <v>238056</v>
      </c>
      <c r="S123" s="3" t="str">
        <f>IF(Table13[[#This Row],[Indicative carbon footprint /puff (g CO2e) 
Midpoint value7,8]]&gt;=35,"High","Low")</f>
        <v>High</v>
      </c>
      <c r="T123" s="3"/>
      <c r="U123" s="1">
        <f>Table13[[#This Row],[Number of puffs per 28 days1-4]]*Table13[[#This Row],[Cost/puff 1,5-7]]</f>
        <v>20.953333333333333</v>
      </c>
      <c r="V123" s="1">
        <f>Table13[[#This Row],[Indicative cost per 28 days1,5]]*13</f>
        <v>272.39333333333332</v>
      </c>
      <c r="X123" s="1" t="s">
        <v>7</v>
      </c>
      <c r="Y123" s="2" t="s">
        <v>210</v>
      </c>
      <c r="Z123" s="4" t="s">
        <v>243</v>
      </c>
      <c r="AD123" s="2" t="s">
        <v>63</v>
      </c>
      <c r="AE123" s="2" t="s">
        <v>63</v>
      </c>
      <c r="AF123" s="2" t="s">
        <v>63</v>
      </c>
      <c r="AG123" s="2" t="s">
        <v>63</v>
      </c>
      <c r="AH123" s="2" t="s">
        <v>63</v>
      </c>
      <c r="AI123" s="2" t="s">
        <v>63</v>
      </c>
      <c r="AJ123" s="2" t="s">
        <v>63</v>
      </c>
      <c r="AK123" s="2" t="s">
        <v>63</v>
      </c>
      <c r="AL123" s="2" t="s">
        <v>63</v>
      </c>
      <c r="AM123" s="2" t="s">
        <v>63</v>
      </c>
      <c r="AN123" s="2" t="s">
        <v>63</v>
      </c>
      <c r="AO123" s="2" t="s">
        <v>63</v>
      </c>
      <c r="AP123" s="2" t="s">
        <v>63</v>
      </c>
      <c r="AQ123" s="2" t="s">
        <v>63</v>
      </c>
      <c r="AR123" s="2" t="s">
        <v>63</v>
      </c>
      <c r="AS123" s="2" t="s">
        <v>311</v>
      </c>
    </row>
    <row r="124" spans="1:45" ht="30" x14ac:dyDescent="0.25">
      <c r="A124" s="2" t="s">
        <v>464</v>
      </c>
      <c r="B124" s="2" t="s">
        <v>32</v>
      </c>
      <c r="C124" s="2" t="s">
        <v>342</v>
      </c>
      <c r="D124" s="2" t="s">
        <v>18</v>
      </c>
      <c r="E124" s="2" t="s">
        <v>11</v>
      </c>
      <c r="F124" s="2" t="s">
        <v>19</v>
      </c>
      <c r="G124" s="2">
        <v>120</v>
      </c>
      <c r="H124" s="1">
        <v>28.32</v>
      </c>
      <c r="I124" s="1">
        <f t="shared" si="3"/>
        <v>0.23600000000000002</v>
      </c>
      <c r="J124" s="2" t="s">
        <v>12</v>
      </c>
      <c r="K124" s="2" t="s">
        <v>12</v>
      </c>
      <c r="L124" s="2" t="s">
        <v>13</v>
      </c>
      <c r="M124" s="2">
        <v>163.5</v>
      </c>
      <c r="N124" s="2">
        <f>Table13[[#This Row],[Doses per inhaler1,2]]*Table13[[#This Row],[Indicative carbon footprint /puff (g CO2e) 
Midpoint value7,8]]</f>
        <v>19620</v>
      </c>
      <c r="O124" s="10" t="s">
        <v>676</v>
      </c>
      <c r="P124" s="3">
        <v>112</v>
      </c>
      <c r="Q124" s="3">
        <f>Table13[[#This Row],[Indicative carbon footprint /puff (g CO2e) 
Midpoint value7,8]]*Table13[[#This Row],[Number of puffs per 28 days1-4]]</f>
        <v>18312</v>
      </c>
      <c r="R124" s="3">
        <f>13*Table13[[#This Row],[Indicative carbon footprint per 28 days (g CO2e)]]</f>
        <v>238056</v>
      </c>
      <c r="S124" s="3" t="str">
        <f>IF(Table13[[#This Row],[Indicative carbon footprint /puff (g CO2e) 
Midpoint value7,8]]&gt;=35,"High","Low")</f>
        <v>High</v>
      </c>
      <c r="T124" s="3"/>
      <c r="U124" s="1">
        <f>Table13[[#This Row],[Number of puffs per 28 days1-4]]*Table13[[#This Row],[Cost/puff 1,5-7]]</f>
        <v>26.432000000000002</v>
      </c>
      <c r="V124" s="1">
        <f>Table13[[#This Row],[Indicative cost per 28 days1,5]]*13</f>
        <v>343.61600000000004</v>
      </c>
      <c r="X124" s="1" t="s">
        <v>7</v>
      </c>
      <c r="Y124" s="2" t="s">
        <v>210</v>
      </c>
      <c r="Z124" s="4" t="s">
        <v>244</v>
      </c>
      <c r="AD124" s="2" t="s">
        <v>63</v>
      </c>
      <c r="AE124" s="2" t="s">
        <v>63</v>
      </c>
      <c r="AF124" s="2" t="s">
        <v>63</v>
      </c>
      <c r="AG124" s="2" t="s">
        <v>63</v>
      </c>
      <c r="AH124" s="2" t="s">
        <v>63</v>
      </c>
      <c r="AI124" s="2" t="s">
        <v>63</v>
      </c>
      <c r="AJ124" s="2" t="s">
        <v>63</v>
      </c>
      <c r="AK124" s="2" t="s">
        <v>63</v>
      </c>
      <c r="AL124" s="2" t="s">
        <v>63</v>
      </c>
      <c r="AM124" s="2" t="s">
        <v>63</v>
      </c>
      <c r="AN124" s="2" t="s">
        <v>63</v>
      </c>
      <c r="AO124" s="2" t="s">
        <v>63</v>
      </c>
      <c r="AP124" s="2" t="s">
        <v>63</v>
      </c>
      <c r="AQ124" s="2" t="s">
        <v>63</v>
      </c>
      <c r="AR124" s="2" t="s">
        <v>63</v>
      </c>
      <c r="AS124" s="2" t="s">
        <v>311</v>
      </c>
    </row>
    <row r="125" spans="1:45" x14ac:dyDescent="0.25">
      <c r="A125" s="2" t="s">
        <v>465</v>
      </c>
      <c r="B125" s="2" t="s">
        <v>174</v>
      </c>
      <c r="C125" s="2" t="s">
        <v>462</v>
      </c>
      <c r="D125" s="2" t="s">
        <v>10</v>
      </c>
      <c r="E125" s="2" t="s">
        <v>61</v>
      </c>
      <c r="F125" s="2" t="s">
        <v>19</v>
      </c>
      <c r="G125" s="2">
        <v>120</v>
      </c>
      <c r="H125" s="1">
        <v>19.95</v>
      </c>
      <c r="I125" s="1">
        <f t="shared" si="3"/>
        <v>0.16624999999999998</v>
      </c>
      <c r="J125" s="2" t="s">
        <v>245</v>
      </c>
      <c r="K125" s="2" t="s">
        <v>245</v>
      </c>
      <c r="L125" s="2" t="s">
        <v>5</v>
      </c>
      <c r="M125" s="2">
        <v>130</v>
      </c>
      <c r="N125" s="2">
        <f>Table13[[#This Row],[Doses per inhaler1,2]]*Table13[[#This Row],[Indicative carbon footprint /puff (g CO2e) 
Midpoint value7,8]]</f>
        <v>15600</v>
      </c>
      <c r="O125" s="10" t="s">
        <v>63</v>
      </c>
      <c r="P125" s="3">
        <v>112</v>
      </c>
      <c r="Q125" s="3">
        <f>Table13[[#This Row],[Indicative carbon footprint /puff (g CO2e) 
Midpoint value7,8]]*Table13[[#This Row],[Number of puffs per 28 days1-4]]</f>
        <v>14560</v>
      </c>
      <c r="R125" s="26">
        <f>13*Table13[[#This Row],[Indicative carbon footprint per 28 days (g CO2e)]]</f>
        <v>189280</v>
      </c>
      <c r="S125" s="3" t="str">
        <f>IF(Table13[[#This Row],[Indicative carbon footprint /puff (g CO2e) 
Midpoint value7,8]]&gt;=35,"High","Low")</f>
        <v>High</v>
      </c>
      <c r="T125" s="3"/>
      <c r="U125" s="1">
        <f>Table13[[#This Row],[Number of puffs per 28 days1-4]]*Table13[[#This Row],[Cost/puff 1,5-7]]</f>
        <v>18.619999999999997</v>
      </c>
      <c r="V125" s="1">
        <f>Table13[[#This Row],[Indicative cost per 28 days1,5]]*13</f>
        <v>242.05999999999997</v>
      </c>
      <c r="X125" s="1" t="s">
        <v>7</v>
      </c>
      <c r="Y125" s="2" t="s">
        <v>210</v>
      </c>
      <c r="Z125" s="4" t="s">
        <v>246</v>
      </c>
      <c r="AD125" s="2" t="s">
        <v>63</v>
      </c>
      <c r="AE125" s="2" t="s">
        <v>63</v>
      </c>
      <c r="AF125" s="2" t="s">
        <v>63</v>
      </c>
      <c r="AG125" s="2" t="s">
        <v>63</v>
      </c>
      <c r="AH125" s="2" t="s">
        <v>63</v>
      </c>
      <c r="AI125" s="2" t="s">
        <v>63</v>
      </c>
      <c r="AJ125" s="2" t="s">
        <v>63</v>
      </c>
      <c r="AK125" s="2" t="s">
        <v>63</v>
      </c>
      <c r="AL125" s="2" t="s">
        <v>63</v>
      </c>
      <c r="AM125" s="2" t="s">
        <v>63</v>
      </c>
      <c r="AN125" s="2" t="s">
        <v>63</v>
      </c>
      <c r="AO125" s="2" t="s">
        <v>63</v>
      </c>
      <c r="AP125" s="2" t="s">
        <v>63</v>
      </c>
      <c r="AQ125" s="2" t="s">
        <v>63</v>
      </c>
      <c r="AR125" s="2" t="s">
        <v>63</v>
      </c>
      <c r="AS125" s="2">
        <v>130</v>
      </c>
    </row>
    <row r="126" spans="1:45" ht="165" x14ac:dyDescent="0.25">
      <c r="A126" s="2" t="s">
        <v>247</v>
      </c>
      <c r="B126" s="2" t="s">
        <v>248</v>
      </c>
      <c r="C126" s="2" t="s">
        <v>368</v>
      </c>
      <c r="D126" s="2" t="s">
        <v>18</v>
      </c>
      <c r="E126" s="2" t="s">
        <v>36</v>
      </c>
      <c r="F126" s="2" t="s">
        <v>19</v>
      </c>
      <c r="G126" s="2">
        <v>200</v>
      </c>
      <c r="H126" s="1">
        <v>5.57</v>
      </c>
      <c r="I126" s="1">
        <f t="shared" ref="I126:I156" si="4">H126/G126</f>
        <v>2.785E-2</v>
      </c>
      <c r="J126" s="2" t="s">
        <v>249</v>
      </c>
      <c r="K126" s="2" t="s">
        <v>250</v>
      </c>
      <c r="L126" s="2" t="s">
        <v>5</v>
      </c>
      <c r="M126" s="2">
        <v>70.28</v>
      </c>
      <c r="N126" s="2">
        <f>Table13[[#This Row],[Doses per inhaler1,2]]*Table13[[#This Row],[Indicative carbon footprint /puff (g CO2e) 
Midpoint value7,8]]</f>
        <v>14056</v>
      </c>
      <c r="O126" s="10" t="s">
        <v>669</v>
      </c>
      <c r="P126" s="3">
        <v>112</v>
      </c>
      <c r="Q126" s="3">
        <f>Table13[[#This Row],[Indicative carbon footprint /puff (g CO2e) 
Midpoint value7,8]]*Table13[[#This Row],[Number of puffs per 28 days1-4]]</f>
        <v>7871.3600000000006</v>
      </c>
      <c r="R126" s="3">
        <f>13*Table13[[#This Row],[Indicative carbon footprint per 28 days (g CO2e)]]</f>
        <v>102327.68000000001</v>
      </c>
      <c r="S126" s="3" t="str">
        <f>IF(Table13[[#This Row],[Indicative carbon footprint /puff (g CO2e) 
Midpoint value7,8]]&gt;=35,"High","Low")</f>
        <v>High</v>
      </c>
      <c r="T126" s="3"/>
      <c r="U126" s="1">
        <f>Table13[[#This Row],[Number of puffs per 28 days1-4]]*Table13[[#This Row],[Cost/puff 1,5-7]]</f>
        <v>3.1192000000000002</v>
      </c>
      <c r="V126" s="1">
        <f>Table13[[#This Row],[Indicative cost per 28 days1,5]]*13</f>
        <v>40.549600000000005</v>
      </c>
      <c r="X126" s="1" t="s">
        <v>14</v>
      </c>
      <c r="Y126" s="2" t="s">
        <v>210</v>
      </c>
      <c r="Z126" s="4" t="s">
        <v>251</v>
      </c>
      <c r="AD126" s="2" t="s">
        <v>604</v>
      </c>
      <c r="AE126" s="2" t="s">
        <v>63</v>
      </c>
      <c r="AF126" s="2" t="s">
        <v>63</v>
      </c>
      <c r="AG126" s="2" t="s">
        <v>63</v>
      </c>
      <c r="AH126" s="2" t="s">
        <v>63</v>
      </c>
      <c r="AI126" s="2" t="s">
        <v>63</v>
      </c>
      <c r="AJ126" s="2" t="s">
        <v>63</v>
      </c>
      <c r="AK126" s="2" t="s">
        <v>63</v>
      </c>
      <c r="AL126" s="2" t="s">
        <v>63</v>
      </c>
      <c r="AM126" s="2" t="s">
        <v>63</v>
      </c>
      <c r="AN126" s="2" t="s">
        <v>63</v>
      </c>
      <c r="AO126" s="2" t="s">
        <v>63</v>
      </c>
      <c r="AP126" s="2" t="s">
        <v>63</v>
      </c>
      <c r="AQ126" s="2" t="s">
        <v>63</v>
      </c>
      <c r="AR126" s="2" t="s">
        <v>63</v>
      </c>
      <c r="AS126" s="2" t="s">
        <v>312</v>
      </c>
    </row>
    <row r="127" spans="1:45" ht="75" x14ac:dyDescent="0.25">
      <c r="A127" s="2" t="s">
        <v>252</v>
      </c>
      <c r="B127" s="2" t="s">
        <v>248</v>
      </c>
      <c r="C127" s="2" t="s">
        <v>370</v>
      </c>
      <c r="D127" s="2" t="s">
        <v>18</v>
      </c>
      <c r="E127" s="2" t="s">
        <v>36</v>
      </c>
      <c r="F127" s="2" t="s">
        <v>19</v>
      </c>
      <c r="G127" s="2">
        <v>200</v>
      </c>
      <c r="H127" s="1">
        <v>12.13</v>
      </c>
      <c r="I127" s="1">
        <f t="shared" si="4"/>
        <v>6.0650000000000003E-2</v>
      </c>
      <c r="J127" s="2" t="s">
        <v>253</v>
      </c>
      <c r="K127" s="2" t="s">
        <v>12</v>
      </c>
      <c r="L127" s="2" t="s">
        <v>5</v>
      </c>
      <c r="M127" s="2">
        <v>69.319999999999993</v>
      </c>
      <c r="N127" s="2">
        <f>Table13[[#This Row],[Doses per inhaler1,2]]*Table13[[#This Row],[Indicative carbon footprint /puff (g CO2e) 
Midpoint value7,8]]</f>
        <v>13863.999999999998</v>
      </c>
      <c r="O127" s="10" t="s">
        <v>669</v>
      </c>
      <c r="P127" s="3">
        <v>56</v>
      </c>
      <c r="Q127" s="3">
        <f>Table13[[#This Row],[Indicative carbon footprint /puff (g CO2e) 
Midpoint value7,8]]*Table13[[#This Row],[Number of puffs per 28 days1-4]]</f>
        <v>3881.9199999999996</v>
      </c>
      <c r="R127" s="3">
        <f>13*Table13[[#This Row],[Indicative carbon footprint per 28 days (g CO2e)]]</f>
        <v>50464.959999999992</v>
      </c>
      <c r="S127" s="3" t="str">
        <f>IF(Table13[[#This Row],[Indicative carbon footprint /puff (g CO2e) 
Midpoint value7,8]]&gt;=35,"High","Low")</f>
        <v>High</v>
      </c>
      <c r="T127" s="3"/>
      <c r="U127" s="1">
        <f>Table13[[#This Row],[Number of puffs per 28 days1-4]]*Table13[[#This Row],[Cost/puff 1,5-7]]</f>
        <v>3.3964000000000003</v>
      </c>
      <c r="V127" s="1">
        <f>Table13[[#This Row],[Indicative cost per 28 days1,5]]*13</f>
        <v>44.153200000000005</v>
      </c>
      <c r="X127" s="1" t="s">
        <v>14</v>
      </c>
      <c r="Y127" s="2" t="s">
        <v>210</v>
      </c>
      <c r="Z127" s="4" t="s">
        <v>254</v>
      </c>
      <c r="AD127" s="2" t="s">
        <v>604</v>
      </c>
      <c r="AE127" s="2" t="s">
        <v>63</v>
      </c>
      <c r="AF127" s="2" t="s">
        <v>63</v>
      </c>
      <c r="AG127" s="2" t="s">
        <v>63</v>
      </c>
      <c r="AH127" s="2" t="s">
        <v>63</v>
      </c>
      <c r="AI127" s="2" t="s">
        <v>63</v>
      </c>
      <c r="AJ127" s="2" t="s">
        <v>63</v>
      </c>
      <c r="AK127" s="2" t="s">
        <v>63</v>
      </c>
      <c r="AL127" s="2" t="s">
        <v>63</v>
      </c>
      <c r="AM127" s="2" t="s">
        <v>63</v>
      </c>
      <c r="AN127" s="2" t="s">
        <v>63</v>
      </c>
      <c r="AO127" s="2" t="s">
        <v>63</v>
      </c>
      <c r="AP127" s="2" t="s">
        <v>63</v>
      </c>
      <c r="AQ127" s="2" t="s">
        <v>63</v>
      </c>
      <c r="AR127" s="2" t="s">
        <v>63</v>
      </c>
      <c r="AS127" s="2" t="s">
        <v>312</v>
      </c>
    </row>
    <row r="128" spans="1:45" ht="75" x14ac:dyDescent="0.25">
      <c r="A128" s="2" t="s">
        <v>255</v>
      </c>
      <c r="B128" s="2" t="s">
        <v>248</v>
      </c>
      <c r="C128" s="2" t="s">
        <v>372</v>
      </c>
      <c r="D128" s="2" t="s">
        <v>18</v>
      </c>
      <c r="E128" s="2" t="s">
        <v>36</v>
      </c>
      <c r="F128" s="2" t="s">
        <v>19</v>
      </c>
      <c r="G128" s="2">
        <v>200</v>
      </c>
      <c r="H128" s="1">
        <v>12.22</v>
      </c>
      <c r="I128" s="1">
        <f t="shared" si="4"/>
        <v>6.1100000000000002E-2</v>
      </c>
      <c r="J128" s="2" t="s">
        <v>253</v>
      </c>
      <c r="K128" s="2" t="s">
        <v>12</v>
      </c>
      <c r="L128" s="2" t="s">
        <v>5</v>
      </c>
      <c r="M128" s="2">
        <v>68.42</v>
      </c>
      <c r="N128" s="2">
        <f>Table13[[#This Row],[Doses per inhaler1,2]]*Table13[[#This Row],[Indicative carbon footprint /puff (g CO2e) 
Midpoint value7,8]]</f>
        <v>13684</v>
      </c>
      <c r="O128" s="10" t="s">
        <v>669</v>
      </c>
      <c r="P128" s="3">
        <v>112</v>
      </c>
      <c r="Q128" s="3">
        <f>Table13[[#This Row],[Indicative carbon footprint /puff (g CO2e) 
Midpoint value7,8]]*Table13[[#This Row],[Number of puffs per 28 days1-4]]</f>
        <v>7663.04</v>
      </c>
      <c r="R128" s="3">
        <f>13*Table13[[#This Row],[Indicative carbon footprint per 28 days (g CO2e)]]</f>
        <v>99619.520000000004</v>
      </c>
      <c r="S128" s="3" t="str">
        <f>IF(Table13[[#This Row],[Indicative carbon footprint /puff (g CO2e) 
Midpoint value7,8]]&gt;=35,"High","Low")</f>
        <v>High</v>
      </c>
      <c r="T128" s="3"/>
      <c r="U128" s="1">
        <f>Table13[[#This Row],[Number of puffs per 28 days1-4]]*Table13[[#This Row],[Cost/puff 1,5-7]]</f>
        <v>6.8432000000000004</v>
      </c>
      <c r="V128" s="1">
        <f>Table13[[#This Row],[Indicative cost per 28 days1,5]]*13</f>
        <v>88.961600000000004</v>
      </c>
      <c r="X128" s="1" t="s">
        <v>14</v>
      </c>
      <c r="Y128" s="2" t="s">
        <v>210</v>
      </c>
      <c r="Z128" s="4" t="s">
        <v>256</v>
      </c>
      <c r="AD128" s="2" t="s">
        <v>604</v>
      </c>
      <c r="AE128" s="2" t="s">
        <v>63</v>
      </c>
      <c r="AF128" s="2" t="s">
        <v>63</v>
      </c>
      <c r="AG128" s="2" t="s">
        <v>63</v>
      </c>
      <c r="AH128" s="2" t="s">
        <v>63</v>
      </c>
      <c r="AI128" s="2" t="s">
        <v>63</v>
      </c>
      <c r="AJ128" s="2" t="s">
        <v>63</v>
      </c>
      <c r="AK128" s="2" t="s">
        <v>63</v>
      </c>
      <c r="AL128" s="2" t="s">
        <v>63</v>
      </c>
      <c r="AM128" s="2" t="s">
        <v>63</v>
      </c>
      <c r="AN128" s="2" t="s">
        <v>63</v>
      </c>
      <c r="AO128" s="2" t="s">
        <v>63</v>
      </c>
      <c r="AP128" s="2" t="s">
        <v>63</v>
      </c>
      <c r="AQ128" s="2" t="s">
        <v>63</v>
      </c>
      <c r="AR128" s="2" t="s">
        <v>63</v>
      </c>
      <c r="AS128" s="2" t="s">
        <v>312</v>
      </c>
    </row>
    <row r="129" spans="1:45" ht="165" x14ac:dyDescent="0.25">
      <c r="A129" s="2" t="s">
        <v>257</v>
      </c>
      <c r="B129" s="2" t="s">
        <v>248</v>
      </c>
      <c r="C129" s="2" t="s">
        <v>374</v>
      </c>
      <c r="D129" s="2" t="s">
        <v>18</v>
      </c>
      <c r="E129" s="2" t="s">
        <v>36</v>
      </c>
      <c r="F129" s="2" t="s">
        <v>19</v>
      </c>
      <c r="G129" s="2">
        <v>200</v>
      </c>
      <c r="H129" s="1">
        <v>2.78</v>
      </c>
      <c r="I129" s="1">
        <f t="shared" si="4"/>
        <v>1.3899999999999999E-2</v>
      </c>
      <c r="J129" s="2" t="s">
        <v>249</v>
      </c>
      <c r="K129" s="2" t="s">
        <v>250</v>
      </c>
      <c r="L129" s="2" t="s">
        <v>5</v>
      </c>
      <c r="M129" s="2">
        <v>70.349999999999994</v>
      </c>
      <c r="N129" s="2">
        <f>Table13[[#This Row],[Doses per inhaler1,2]]*Table13[[#This Row],[Indicative carbon footprint /puff (g CO2e) 
Midpoint value7,8]]</f>
        <v>14069.999999999998</v>
      </c>
      <c r="O129" s="10" t="s">
        <v>669</v>
      </c>
      <c r="P129" s="3">
        <v>112</v>
      </c>
      <c r="Q129" s="29">
        <f>Table13[[#This Row],[Indicative carbon footprint /puff (g CO2e) 
Midpoint value7,8]]*Table13[[#This Row],[Number of puffs per 28 days1-4]]</f>
        <v>7879.1999999999989</v>
      </c>
      <c r="R129" s="3">
        <f>13*Table13[[#This Row],[Indicative carbon footprint per 28 days (g CO2e)]]</f>
        <v>102429.59999999999</v>
      </c>
      <c r="S129" s="3" t="str">
        <f>IF(Table13[[#This Row],[Indicative carbon footprint /puff (g CO2e) 
Midpoint value7,8]]&gt;=35,"High","Low")</f>
        <v>High</v>
      </c>
      <c r="T129" s="3"/>
      <c r="U129" s="1">
        <f>Table13[[#This Row],[Number of puffs per 28 days1-4]]*Table13[[#This Row],[Cost/puff 1,5-7]]</f>
        <v>1.5568</v>
      </c>
      <c r="V129" s="1">
        <f>Table13[[#This Row],[Indicative cost per 28 days1,5]]*13</f>
        <v>20.238399999999999</v>
      </c>
      <c r="W129" s="28"/>
      <c r="X129" s="1" t="s">
        <v>14</v>
      </c>
      <c r="Y129" s="2" t="s">
        <v>210</v>
      </c>
      <c r="Z129" s="4" t="s">
        <v>258</v>
      </c>
      <c r="AD129" s="2" t="s">
        <v>604</v>
      </c>
      <c r="AE129" s="2" t="s">
        <v>63</v>
      </c>
      <c r="AF129" s="2" t="s">
        <v>63</v>
      </c>
      <c r="AG129" s="2" t="s">
        <v>63</v>
      </c>
      <c r="AH129" s="2" t="s">
        <v>63</v>
      </c>
      <c r="AI129" s="2" t="s">
        <v>63</v>
      </c>
      <c r="AJ129" s="2" t="s">
        <v>63</v>
      </c>
      <c r="AK129" s="2" t="s">
        <v>63</v>
      </c>
      <c r="AL129" s="2" t="s">
        <v>63</v>
      </c>
      <c r="AM129" s="2" t="s">
        <v>63</v>
      </c>
      <c r="AN129" s="2" t="s">
        <v>63</v>
      </c>
      <c r="AO129" s="2" t="s">
        <v>63</v>
      </c>
      <c r="AP129" s="2" t="s">
        <v>63</v>
      </c>
      <c r="AQ129" s="2" t="s">
        <v>63</v>
      </c>
      <c r="AR129" s="2" t="s">
        <v>63</v>
      </c>
      <c r="AS129" s="2" t="s">
        <v>312</v>
      </c>
    </row>
    <row r="130" spans="1:45" ht="60" x14ac:dyDescent="0.25">
      <c r="A130" s="2" t="s">
        <v>624</v>
      </c>
      <c r="B130" s="2" t="s">
        <v>64</v>
      </c>
      <c r="C130" s="2" t="s">
        <v>466</v>
      </c>
      <c r="D130" s="2" t="s">
        <v>43</v>
      </c>
      <c r="E130" s="2" t="s">
        <v>44</v>
      </c>
      <c r="F130" s="2" t="s">
        <v>259</v>
      </c>
      <c r="G130" s="2">
        <v>60</v>
      </c>
      <c r="H130" s="1">
        <v>32.5</v>
      </c>
      <c r="I130" s="1">
        <f t="shared" si="4"/>
        <v>0.54166666666666663</v>
      </c>
      <c r="J130" s="2" t="s">
        <v>12</v>
      </c>
      <c r="K130" s="2" t="s">
        <v>12</v>
      </c>
      <c r="L130" s="2" t="s">
        <v>5</v>
      </c>
      <c r="M130" s="27">
        <f>Table13[[#This Row],[Indicative carbon footprint /inhaler (g CO2e) 
Midpoint value7,8]]/Table13[[#This Row],[Doses per inhaler1,2]]</f>
        <v>12.916666666666666</v>
      </c>
      <c r="N130" s="2">
        <v>775</v>
      </c>
      <c r="O130" s="10" t="s">
        <v>672</v>
      </c>
      <c r="P130" s="3">
        <v>56</v>
      </c>
      <c r="Q130" s="3">
        <f>Table13[[#This Row],[Indicative carbon footprint /puff (g CO2e) 
Midpoint value7,8]]*Table13[[#This Row],[Number of puffs per 28 days1-4]]</f>
        <v>723.33333333333326</v>
      </c>
      <c r="R130" s="3">
        <f>13*Table13[[#This Row],[Indicative carbon footprint per 28 days (g CO2e)]]</f>
        <v>9403.3333333333321</v>
      </c>
      <c r="S130" s="3" t="str">
        <f>IF(Table13[[#This Row],[Indicative carbon footprint /puff (g CO2e) 
Midpoint value7,8]]&gt;=35,"High","Low")</f>
        <v>Low</v>
      </c>
      <c r="T130" s="3"/>
      <c r="U130" s="1">
        <f>Table13[[#This Row],[Number of puffs per 28 days1-4]]*Table13[[#This Row],[Cost/puff 1,5-7]]</f>
        <v>30.333333333333332</v>
      </c>
      <c r="V130" s="1">
        <f>Table13[[#This Row],[Indicative cost per 28 days1,5]]*13</f>
        <v>394.33333333333331</v>
      </c>
      <c r="X130" s="1" t="s">
        <v>14</v>
      </c>
      <c r="Y130" s="2" t="s">
        <v>5</v>
      </c>
      <c r="Z130" s="4" t="s">
        <v>260</v>
      </c>
      <c r="AA130" s="9" t="s">
        <v>45</v>
      </c>
      <c r="AB130" s="9" t="s">
        <v>17</v>
      </c>
      <c r="AC130" s="9" t="s">
        <v>5</v>
      </c>
      <c r="AD130" s="2" t="s">
        <v>63</v>
      </c>
      <c r="AE130" s="11">
        <v>710</v>
      </c>
      <c r="AF130" s="11">
        <v>456</v>
      </c>
      <c r="AG130" s="2" t="s">
        <v>63</v>
      </c>
      <c r="AH130" s="11">
        <v>5</v>
      </c>
      <c r="AI130" s="2" t="s">
        <v>63</v>
      </c>
      <c r="AJ130" s="11">
        <v>245</v>
      </c>
      <c r="AK130" s="11" t="s">
        <v>261</v>
      </c>
      <c r="AL130" s="11" t="s">
        <v>609</v>
      </c>
      <c r="AM130" s="11">
        <v>0</v>
      </c>
      <c r="AN130" s="11">
        <v>69</v>
      </c>
      <c r="AO130" s="2" t="s">
        <v>63</v>
      </c>
      <c r="AP130" s="11" t="s">
        <v>5</v>
      </c>
      <c r="AQ130" s="11" t="s">
        <v>5</v>
      </c>
      <c r="AR130" s="2" t="s">
        <v>560</v>
      </c>
      <c r="AS130" s="2">
        <v>13</v>
      </c>
    </row>
    <row r="131" spans="1:45" ht="45" x14ac:dyDescent="0.25">
      <c r="A131" s="2" t="s">
        <v>628</v>
      </c>
      <c r="B131" s="2" t="s">
        <v>64</v>
      </c>
      <c r="C131" s="2" t="s">
        <v>466</v>
      </c>
      <c r="D131" s="2" t="s">
        <v>43</v>
      </c>
      <c r="E131" s="2" t="s">
        <v>44</v>
      </c>
      <c r="F131" s="2" t="s">
        <v>259</v>
      </c>
      <c r="G131" s="2">
        <v>60</v>
      </c>
      <c r="H131" s="1">
        <v>32.5</v>
      </c>
      <c r="I131" s="1">
        <f t="shared" si="4"/>
        <v>0.54166666666666663</v>
      </c>
      <c r="J131" s="2" t="s">
        <v>12</v>
      </c>
      <c r="K131" s="2" t="s">
        <v>12</v>
      </c>
      <c r="L131" s="2" t="s">
        <v>5</v>
      </c>
      <c r="M131" s="27">
        <f>Table13[[#This Row],[Indicative carbon footprint /inhaler (g CO2e) 
Midpoint value7,8]]/Table13[[#This Row],[Doses per inhaler1,2]]</f>
        <v>3.8333333333333335</v>
      </c>
      <c r="N131" s="2">
        <v>230</v>
      </c>
      <c r="O131" s="10" t="s">
        <v>672</v>
      </c>
      <c r="P131" s="3">
        <v>56</v>
      </c>
      <c r="Q131" s="29">
        <f>Table13[[#This Row],[Indicative carbon footprint /puff (g CO2e) 
Midpoint value7,8]]*Table13[[#This Row],[Number of puffs per 28 days1-4]]</f>
        <v>214.66666666666669</v>
      </c>
      <c r="R131" s="3">
        <f>13*Table13[[#This Row],[Indicative carbon footprint per 28 days (g CO2e)]]</f>
        <v>2790.666666666667</v>
      </c>
      <c r="S131" s="3" t="str">
        <f>IF(Table13[[#This Row],[Indicative carbon footprint /puff (g CO2e) 
Midpoint value7,8]]&gt;=35,"High","Low")</f>
        <v>Low</v>
      </c>
      <c r="T131" s="3"/>
      <c r="U131" s="1">
        <f>Table13[[#This Row],[Number of puffs per 28 days1-4]]*Table13[[#This Row],[Cost/puff 1,5-7]]</f>
        <v>30.333333333333332</v>
      </c>
      <c r="V131" s="1">
        <f>Table13[[#This Row],[Indicative cost per 28 days1,5]]*13</f>
        <v>394.33333333333331</v>
      </c>
      <c r="W131" s="32" t="s">
        <v>625</v>
      </c>
      <c r="X131" s="1" t="s">
        <v>14</v>
      </c>
      <c r="Y131" s="2" t="s">
        <v>5</v>
      </c>
      <c r="Z131" s="4" t="s">
        <v>626</v>
      </c>
      <c r="AA131" s="9" t="s">
        <v>45</v>
      </c>
      <c r="AB131" s="9" t="s">
        <v>17</v>
      </c>
      <c r="AC131" s="9" t="s">
        <v>5</v>
      </c>
      <c r="AD131" s="2" t="s">
        <v>63</v>
      </c>
      <c r="AE131" s="2" t="s">
        <v>63</v>
      </c>
      <c r="AF131" s="2" t="s">
        <v>63</v>
      </c>
      <c r="AG131" s="2" t="s">
        <v>63</v>
      </c>
      <c r="AH131" s="2" t="s">
        <v>63</v>
      </c>
      <c r="AI131" s="2" t="s">
        <v>63</v>
      </c>
      <c r="AJ131" s="2" t="s">
        <v>63</v>
      </c>
      <c r="AK131" s="2" t="s">
        <v>63</v>
      </c>
      <c r="AL131" s="2" t="s">
        <v>63</v>
      </c>
      <c r="AM131" s="2" t="s">
        <v>63</v>
      </c>
      <c r="AN131" s="2" t="s">
        <v>63</v>
      </c>
      <c r="AO131" s="2" t="s">
        <v>63</v>
      </c>
      <c r="AP131" s="11" t="s">
        <v>5</v>
      </c>
      <c r="AQ131" s="11" t="s">
        <v>5</v>
      </c>
      <c r="AR131" s="2" t="s">
        <v>560</v>
      </c>
      <c r="AS131" s="2">
        <v>13</v>
      </c>
    </row>
    <row r="132" spans="1:45" ht="75" x14ac:dyDescent="0.25">
      <c r="A132" s="2" t="s">
        <v>467</v>
      </c>
      <c r="B132" s="2" t="s">
        <v>64</v>
      </c>
      <c r="C132" s="2" t="s">
        <v>262</v>
      </c>
      <c r="D132" s="2" t="s">
        <v>43</v>
      </c>
      <c r="E132" s="2" t="s">
        <v>113</v>
      </c>
      <c r="F132" s="2" t="s">
        <v>6</v>
      </c>
      <c r="G132" s="2">
        <v>30</v>
      </c>
      <c r="H132" s="1">
        <v>33.5</v>
      </c>
      <c r="I132" s="1">
        <f t="shared" si="4"/>
        <v>1.1166666666666667</v>
      </c>
      <c r="J132" s="2" t="s">
        <v>12</v>
      </c>
      <c r="K132" s="2" t="s">
        <v>12</v>
      </c>
      <c r="L132" s="2" t="s">
        <v>5</v>
      </c>
      <c r="M132" s="27">
        <f>Table13[[#This Row],[Indicative carbon footprint /inhaler (g CO2e) 
Midpoint value7,8]]/30</f>
        <v>3.0666666666666669</v>
      </c>
      <c r="N132" s="2">
        <v>92</v>
      </c>
      <c r="O132" s="10" t="s">
        <v>671</v>
      </c>
      <c r="P132" s="3">
        <v>28</v>
      </c>
      <c r="Q132" s="29">
        <f>Table13[[#This Row],[Indicative carbon footprint /puff (g CO2e) 
Midpoint value7,8]]*Table13[[#This Row],[Number of puffs per 28 days1-4]]</f>
        <v>85.866666666666674</v>
      </c>
      <c r="R132" s="3">
        <f>13*Table13[[#This Row],[Indicative carbon footprint per 28 days (g CO2e)]]</f>
        <v>1116.2666666666669</v>
      </c>
      <c r="S132" s="3" t="str">
        <f>IF(Table13[[#This Row],[Indicative carbon footprint /puff (g CO2e) 
Midpoint value7,8]]&gt;=35,"High","Low")</f>
        <v>Low</v>
      </c>
      <c r="T132" s="3"/>
      <c r="U132" s="1">
        <f>Table13[[#This Row],[Number of puffs per 28 days1-4]]*Table13[[#This Row],[Cost/puff 1,5-7]]</f>
        <v>31.266666666666666</v>
      </c>
      <c r="V132" s="1">
        <f>Table13[[#This Row],[Indicative cost per 28 days1,5]]*13</f>
        <v>406.46666666666664</v>
      </c>
      <c r="X132" s="1" t="s">
        <v>14</v>
      </c>
      <c r="Y132" s="2" t="s">
        <v>5</v>
      </c>
      <c r="Z132" s="4" t="s">
        <v>263</v>
      </c>
      <c r="AB132" s="2" t="s">
        <v>17</v>
      </c>
      <c r="AC132" s="9" t="s">
        <v>5</v>
      </c>
      <c r="AD132" s="2" t="s">
        <v>69</v>
      </c>
      <c r="AE132" s="2" t="s">
        <v>63</v>
      </c>
      <c r="AF132" s="2" t="s">
        <v>63</v>
      </c>
      <c r="AG132" s="2" t="s">
        <v>63</v>
      </c>
      <c r="AH132" s="2" t="s">
        <v>63</v>
      </c>
      <c r="AI132" s="2" t="s">
        <v>63</v>
      </c>
      <c r="AJ132" s="2" t="s">
        <v>63</v>
      </c>
      <c r="AK132" s="2" t="s">
        <v>63</v>
      </c>
      <c r="AL132" s="2" t="s">
        <v>63</v>
      </c>
      <c r="AM132" s="2" t="s">
        <v>63</v>
      </c>
      <c r="AN132" s="2" t="s">
        <v>63</v>
      </c>
      <c r="AO132" s="2" t="s">
        <v>63</v>
      </c>
      <c r="AP132" s="2" t="s">
        <v>5</v>
      </c>
      <c r="AQ132" s="11" t="s">
        <v>5</v>
      </c>
      <c r="AR132" s="2" t="s">
        <v>265</v>
      </c>
      <c r="AS132" s="10" t="s">
        <v>313</v>
      </c>
    </row>
    <row r="133" spans="1:45" ht="75" x14ac:dyDescent="0.25">
      <c r="A133" s="2" t="s">
        <v>610</v>
      </c>
      <c r="B133" s="2" t="s">
        <v>64</v>
      </c>
      <c r="C133" s="2" t="s">
        <v>262</v>
      </c>
      <c r="D133" s="2" t="s">
        <v>43</v>
      </c>
      <c r="E133" s="2" t="s">
        <v>113</v>
      </c>
      <c r="F133" s="2" t="s">
        <v>6</v>
      </c>
      <c r="G133" s="2">
        <v>30</v>
      </c>
      <c r="H133" s="1">
        <v>34.869999999999997</v>
      </c>
      <c r="I133" s="1">
        <f t="shared" si="4"/>
        <v>1.1623333333333332</v>
      </c>
      <c r="J133" s="2" t="s">
        <v>12</v>
      </c>
      <c r="K133" s="2" t="s">
        <v>12</v>
      </c>
      <c r="L133" s="2" t="s">
        <v>5</v>
      </c>
      <c r="M133" s="27">
        <f>Table13[[#This Row],[Indicative carbon footprint /inhaler (g CO2e) 
Midpoint value7,8]]/30</f>
        <v>9.4</v>
      </c>
      <c r="N133" s="2">
        <v>282</v>
      </c>
      <c r="O133" s="10" t="s">
        <v>671</v>
      </c>
      <c r="P133" s="3">
        <v>28</v>
      </c>
      <c r="Q133" s="3">
        <f>Table13[[#This Row],[Indicative carbon footprint /puff (g CO2e) 
Midpoint value7,8]]*Table13[[#This Row],[Number of puffs per 28 days1-4]]</f>
        <v>263.2</v>
      </c>
      <c r="R133" s="3">
        <f>13*Table13[[#This Row],[Indicative carbon footprint per 28 days (g CO2e)]]</f>
        <v>3421.6</v>
      </c>
      <c r="S133" s="3" t="str">
        <f>IF(Table13[[#This Row],[Indicative carbon footprint /puff (g CO2e) 
Midpoint value7,8]]&gt;=35,"High","Low")</f>
        <v>Low</v>
      </c>
      <c r="T133" s="3"/>
      <c r="U133" s="1">
        <f>Table13[[#This Row],[Number of puffs per 28 days1-4]]*Table13[[#This Row],[Cost/puff 1,5-7]]</f>
        <v>32.545333333333332</v>
      </c>
      <c r="V133" s="1">
        <f>Table13[[#This Row],[Indicative cost per 28 days1,5]]*13</f>
        <v>423.08933333333334</v>
      </c>
      <c r="W133" s="1"/>
      <c r="X133" s="1" t="s">
        <v>14</v>
      </c>
      <c r="Y133" s="2" t="s">
        <v>5</v>
      </c>
      <c r="Z133" s="4" t="s">
        <v>694</v>
      </c>
      <c r="AB133" s="2" t="s">
        <v>17</v>
      </c>
      <c r="AC133" s="9" t="s">
        <v>5</v>
      </c>
      <c r="AD133" s="2" t="s">
        <v>69</v>
      </c>
      <c r="AE133" s="2">
        <f>0.209*1000</f>
        <v>209</v>
      </c>
      <c r="AF133" s="2" t="s">
        <v>63</v>
      </c>
      <c r="AG133" s="2" t="s">
        <v>63</v>
      </c>
      <c r="AH133" s="2" t="s">
        <v>63</v>
      </c>
      <c r="AI133" s="2" t="s">
        <v>63</v>
      </c>
      <c r="AJ133" s="2" t="s">
        <v>63</v>
      </c>
      <c r="AK133" s="2" t="s">
        <v>63</v>
      </c>
      <c r="AL133" s="2">
        <f>0.012*1000</f>
        <v>12</v>
      </c>
      <c r="AM133" s="2">
        <f>0.001*1000</f>
        <v>1</v>
      </c>
      <c r="AN133" s="2">
        <f>0.039*1000</f>
        <v>39</v>
      </c>
      <c r="AO133" s="2" t="s">
        <v>264</v>
      </c>
      <c r="AP133" s="2" t="s">
        <v>5</v>
      </c>
      <c r="AQ133" s="11" t="s">
        <v>5</v>
      </c>
      <c r="AR133" s="2" t="s">
        <v>265</v>
      </c>
      <c r="AS133" s="10" t="s">
        <v>313</v>
      </c>
    </row>
    <row r="134" spans="1:45" ht="45" x14ac:dyDescent="0.25">
      <c r="A134" s="2" t="s">
        <v>630</v>
      </c>
      <c r="B134" s="2" t="s">
        <v>64</v>
      </c>
      <c r="C134" s="2" t="s">
        <v>468</v>
      </c>
      <c r="D134" s="2" t="s">
        <v>10</v>
      </c>
      <c r="E134" s="2" t="s">
        <v>113</v>
      </c>
      <c r="F134" s="2" t="s">
        <v>259</v>
      </c>
      <c r="G134" s="2">
        <v>60</v>
      </c>
      <c r="H134" s="1">
        <v>23</v>
      </c>
      <c r="I134" s="1">
        <f t="shared" si="4"/>
        <v>0.38333333333333336</v>
      </c>
      <c r="J134" s="2" t="s">
        <v>76</v>
      </c>
      <c r="K134" s="2" t="s">
        <v>76</v>
      </c>
      <c r="L134" s="2" t="s">
        <v>5</v>
      </c>
      <c r="M134" s="27">
        <f>Table13[[#This Row],[Indicative carbon footprint /inhaler (g CO2e) 
Midpoint value7,8]]/Table13[[#This Row],[Doses per inhaler1,2]]</f>
        <v>12.916666666666666</v>
      </c>
      <c r="N134" s="2">
        <v>775</v>
      </c>
      <c r="O134" s="10" t="s">
        <v>671</v>
      </c>
      <c r="P134" s="3">
        <v>56</v>
      </c>
      <c r="Q134" s="3">
        <f>Table13[[#This Row],[Indicative carbon footprint /puff (g CO2e) 
Midpoint value7,8]]*Table13[[#This Row],[Number of puffs per 28 days1-4]]</f>
        <v>723.33333333333326</v>
      </c>
      <c r="R134" s="3">
        <f>13*Table13[[#This Row],[Indicative carbon footprint per 28 days (g CO2e)]]</f>
        <v>9403.3333333333321</v>
      </c>
      <c r="S134" s="3" t="str">
        <f>IF(Table13[[#This Row],[Indicative carbon footprint /puff (g CO2e) 
Midpoint value7,8]]&gt;=35,"High","Low")</f>
        <v>Low</v>
      </c>
      <c r="T134" s="3"/>
      <c r="U134" s="1">
        <f>Table13[[#This Row],[Number of puffs per 28 days1-4]]*Table13[[#This Row],[Cost/puff 1,5-7]]</f>
        <v>21.466666666666669</v>
      </c>
      <c r="V134" s="1">
        <f>Table13[[#This Row],[Indicative cost per 28 days1,5]]*13</f>
        <v>279.06666666666672</v>
      </c>
      <c r="W134" s="2" t="s">
        <v>266</v>
      </c>
      <c r="X134" s="1" t="s">
        <v>14</v>
      </c>
      <c r="Y134" s="2" t="s">
        <v>5</v>
      </c>
      <c r="Z134" s="4" t="s">
        <v>616</v>
      </c>
      <c r="AA134" s="9" t="s">
        <v>45</v>
      </c>
      <c r="AB134" s="9" t="s">
        <v>17</v>
      </c>
      <c r="AC134" s="9" t="s">
        <v>5</v>
      </c>
      <c r="AD134" s="2" t="s">
        <v>63</v>
      </c>
      <c r="AE134" s="11">
        <v>710</v>
      </c>
      <c r="AF134" s="11">
        <v>456</v>
      </c>
      <c r="AG134" s="2" t="s">
        <v>63</v>
      </c>
      <c r="AH134" s="11">
        <v>5</v>
      </c>
      <c r="AI134" s="2" t="s">
        <v>63</v>
      </c>
      <c r="AJ134" s="11">
        <v>245</v>
      </c>
      <c r="AK134" s="11" t="s">
        <v>261</v>
      </c>
      <c r="AL134" s="11" t="s">
        <v>609</v>
      </c>
      <c r="AM134" s="11">
        <v>0</v>
      </c>
      <c r="AN134" s="11">
        <v>69</v>
      </c>
      <c r="AO134" s="2" t="s">
        <v>63</v>
      </c>
      <c r="AP134" s="11" t="s">
        <v>5</v>
      </c>
      <c r="AQ134" s="11" t="s">
        <v>5</v>
      </c>
      <c r="AR134" s="2" t="s">
        <v>560</v>
      </c>
      <c r="AS134" s="10" t="s">
        <v>615</v>
      </c>
    </row>
    <row r="135" spans="1:45" ht="60" x14ac:dyDescent="0.25">
      <c r="A135" s="2" t="s">
        <v>629</v>
      </c>
      <c r="B135" s="2" t="s">
        <v>64</v>
      </c>
      <c r="C135" s="2" t="s">
        <v>468</v>
      </c>
      <c r="D135" s="2" t="s">
        <v>10</v>
      </c>
      <c r="E135" s="2" t="s">
        <v>113</v>
      </c>
      <c r="F135" s="2" t="s">
        <v>259</v>
      </c>
      <c r="G135" s="2">
        <v>60</v>
      </c>
      <c r="H135" s="1">
        <v>23</v>
      </c>
      <c r="I135" s="1">
        <f t="shared" si="4"/>
        <v>0.38333333333333336</v>
      </c>
      <c r="J135" s="2" t="s">
        <v>76</v>
      </c>
      <c r="K135" s="2" t="s">
        <v>76</v>
      </c>
      <c r="L135" s="2" t="s">
        <v>5</v>
      </c>
      <c r="M135" s="27">
        <f>Table13[[#This Row],[Indicative carbon footprint /inhaler (g CO2e) 
Midpoint value7,8]]/Table13[[#This Row],[Doses per inhaler1,2]]</f>
        <v>3.8333333333333335</v>
      </c>
      <c r="N135" s="2">
        <v>230</v>
      </c>
      <c r="O135" s="10" t="s">
        <v>671</v>
      </c>
      <c r="P135" s="3">
        <v>56</v>
      </c>
      <c r="Q135" s="3">
        <f>Table13[[#This Row],[Indicative carbon footprint /puff (g CO2e) 
Midpoint value7,8]]*Table13[[#This Row],[Number of puffs per 28 days1-4]]</f>
        <v>214.66666666666669</v>
      </c>
      <c r="R135" s="3">
        <f>13*Table13[[#This Row],[Indicative carbon footprint per 28 days (g CO2e)]]</f>
        <v>2790.666666666667</v>
      </c>
      <c r="S135" s="3" t="str">
        <f>IF(Table13[[#This Row],[Indicative carbon footprint /puff (g CO2e) 
Midpoint value7,8]]&gt;=35,"High","Low")</f>
        <v>Low</v>
      </c>
      <c r="T135" s="3"/>
      <c r="U135" s="1">
        <f>Table13[[#This Row],[Number of puffs per 28 days1-4]]*Table13[[#This Row],[Cost/puff 1,5-7]]</f>
        <v>21.466666666666669</v>
      </c>
      <c r="V135" s="1">
        <f>Table13[[#This Row],[Indicative cost per 28 days1,5]]*13</f>
        <v>279.06666666666672</v>
      </c>
      <c r="W135" s="2" t="s">
        <v>612</v>
      </c>
      <c r="X135" s="1" t="s">
        <v>14</v>
      </c>
      <c r="Y135" s="2" t="s">
        <v>5</v>
      </c>
      <c r="Z135" s="4" t="s">
        <v>617</v>
      </c>
      <c r="AA135" s="9" t="s">
        <v>45</v>
      </c>
      <c r="AB135" s="9" t="s">
        <v>17</v>
      </c>
      <c r="AC135" s="9" t="s">
        <v>5</v>
      </c>
      <c r="AD135" s="2" t="s">
        <v>63</v>
      </c>
      <c r="AE135" s="2" t="s">
        <v>63</v>
      </c>
      <c r="AF135" s="2" t="s">
        <v>63</v>
      </c>
      <c r="AG135" s="2" t="s">
        <v>63</v>
      </c>
      <c r="AH135" s="2" t="s">
        <v>63</v>
      </c>
      <c r="AI135" s="2" t="s">
        <v>63</v>
      </c>
      <c r="AJ135" s="2" t="s">
        <v>63</v>
      </c>
      <c r="AK135" s="2" t="s">
        <v>63</v>
      </c>
      <c r="AL135" s="2" t="s">
        <v>63</v>
      </c>
      <c r="AM135" s="2" t="s">
        <v>63</v>
      </c>
      <c r="AN135" s="2" t="s">
        <v>63</v>
      </c>
      <c r="AO135" s="2" t="s">
        <v>63</v>
      </c>
      <c r="AP135" s="11" t="s">
        <v>5</v>
      </c>
      <c r="AQ135" s="11" t="s">
        <v>5</v>
      </c>
      <c r="AR135" s="2" t="s">
        <v>560</v>
      </c>
      <c r="AS135" s="2">
        <v>13</v>
      </c>
    </row>
    <row r="136" spans="1:45" ht="30" x14ac:dyDescent="0.25">
      <c r="A136" s="2" t="s">
        <v>469</v>
      </c>
      <c r="B136" s="2" t="s">
        <v>248</v>
      </c>
      <c r="C136" s="2" t="s">
        <v>337</v>
      </c>
      <c r="D136" s="2" t="s">
        <v>10</v>
      </c>
      <c r="E136" s="2" t="s">
        <v>11</v>
      </c>
      <c r="F136" s="2" t="s">
        <v>6</v>
      </c>
      <c r="G136" s="2">
        <v>60</v>
      </c>
      <c r="H136" s="1">
        <v>16.12</v>
      </c>
      <c r="I136" s="1">
        <f t="shared" si="4"/>
        <v>0.26866666666666666</v>
      </c>
      <c r="J136" s="1" t="s">
        <v>37</v>
      </c>
      <c r="K136" s="2" t="s">
        <v>37</v>
      </c>
      <c r="L136" s="2" t="s">
        <v>13</v>
      </c>
      <c r="M136" s="2">
        <v>18.75</v>
      </c>
      <c r="N136" s="2">
        <f>Table13[[#This Row],[Doses per inhaler1,2]]*Table13[[#This Row],[Indicative carbon footprint /puff (g CO2e) 
Midpoint value7,8]]</f>
        <v>1125</v>
      </c>
      <c r="O136" s="10" t="s">
        <v>63</v>
      </c>
      <c r="P136" s="3">
        <v>56</v>
      </c>
      <c r="Q136" s="29">
        <f>Table13[[#This Row],[Indicative carbon footprint /puff (g CO2e) 
Midpoint value7,8]]*Table13[[#This Row],[Number of puffs per 28 days1-4]]</f>
        <v>1050</v>
      </c>
      <c r="R136" s="3">
        <f>13*Table13[[#This Row],[Indicative carbon footprint per 28 days (g CO2e)]]</f>
        <v>13650</v>
      </c>
      <c r="S136" s="3" t="str">
        <f>IF(Table13[[#This Row],[Indicative carbon footprint /puff (g CO2e) 
Midpoint value7,8]]&gt;=35,"High","Low")</f>
        <v>Low</v>
      </c>
      <c r="T136" s="3"/>
      <c r="U136" s="1">
        <f>Table13[[#This Row],[Number of puffs per 28 days1-4]]*Table13[[#This Row],[Cost/puff 1,5-7]]</f>
        <v>15.045333333333334</v>
      </c>
      <c r="V136" s="1">
        <f>Table13[[#This Row],[Indicative cost per 28 days1,5]]*13</f>
        <v>195.58933333333334</v>
      </c>
      <c r="W136" s="28"/>
      <c r="X136" s="1" t="s">
        <v>7</v>
      </c>
      <c r="Y136" s="2" t="s">
        <v>5</v>
      </c>
      <c r="Z136" s="4" t="s">
        <v>267</v>
      </c>
      <c r="AB136" s="2" t="s">
        <v>17</v>
      </c>
      <c r="AC136" s="9" t="s">
        <v>5</v>
      </c>
      <c r="AD136" s="2" t="s">
        <v>63</v>
      </c>
      <c r="AE136" s="2" t="s">
        <v>63</v>
      </c>
      <c r="AF136" s="2" t="s">
        <v>63</v>
      </c>
      <c r="AG136" s="2" t="s">
        <v>63</v>
      </c>
      <c r="AH136" s="2" t="s">
        <v>63</v>
      </c>
      <c r="AI136" s="2" t="s">
        <v>63</v>
      </c>
      <c r="AJ136" s="2" t="s">
        <v>63</v>
      </c>
      <c r="AK136" s="2" t="s">
        <v>63</v>
      </c>
      <c r="AL136" s="2" t="s">
        <v>63</v>
      </c>
      <c r="AM136" s="2" t="s">
        <v>63</v>
      </c>
      <c r="AN136" s="2" t="s">
        <v>63</v>
      </c>
      <c r="AO136" s="2" t="s">
        <v>63</v>
      </c>
      <c r="AP136" s="2" t="s">
        <v>63</v>
      </c>
      <c r="AQ136" s="2" t="s">
        <v>63</v>
      </c>
      <c r="AR136" s="2" t="s">
        <v>63</v>
      </c>
      <c r="AS136" s="2" t="s">
        <v>310</v>
      </c>
    </row>
    <row r="137" spans="1:45" ht="45" x14ac:dyDescent="0.25">
      <c r="A137" s="2" t="s">
        <v>631</v>
      </c>
      <c r="B137" s="2" t="s">
        <v>64</v>
      </c>
      <c r="C137" s="2" t="s">
        <v>268</v>
      </c>
      <c r="D137" s="2" t="s">
        <v>43</v>
      </c>
      <c r="E137" s="2" t="s">
        <v>61</v>
      </c>
      <c r="F137" s="2" t="s">
        <v>259</v>
      </c>
      <c r="G137" s="2">
        <v>60</v>
      </c>
      <c r="H137" s="1">
        <v>26.35</v>
      </c>
      <c r="I137" s="1">
        <f t="shared" si="4"/>
        <v>0.43916666666666671</v>
      </c>
      <c r="J137" s="2" t="s">
        <v>12</v>
      </c>
      <c r="K137" s="2" t="s">
        <v>12</v>
      </c>
      <c r="L137" s="2" t="s">
        <v>5</v>
      </c>
      <c r="M137" s="27">
        <f>Table13[[#This Row],[Indicative carbon footprint /inhaler (g CO2e) 
Midpoint value7,8]]/Table13[[#This Row],[Doses per inhaler1,2]]</f>
        <v>12.916666666666666</v>
      </c>
      <c r="N137" s="2">
        <v>775</v>
      </c>
      <c r="O137" s="10" t="s">
        <v>63</v>
      </c>
      <c r="P137" s="3">
        <v>56</v>
      </c>
      <c r="Q137" s="3">
        <f>Table13[[#This Row],[Indicative carbon footprint /puff (g CO2e) 
Midpoint value7,8]]*Table13[[#This Row],[Number of puffs per 28 days1-4]]</f>
        <v>723.33333333333326</v>
      </c>
      <c r="R137" s="26">
        <f>13*Table13[[#This Row],[Indicative carbon footprint per 28 days (g CO2e)]]</f>
        <v>9403.3333333333321</v>
      </c>
      <c r="S137" s="3" t="str">
        <f>IF(Table13[[#This Row],[Indicative carbon footprint /puff (g CO2e) 
Midpoint value7,8]]&gt;=35,"High","Low")</f>
        <v>Low</v>
      </c>
      <c r="T137" s="3"/>
      <c r="U137" s="1">
        <f>Table13[[#This Row],[Number of puffs per 28 days1-4]]*Table13[[#This Row],[Cost/puff 1,5-7]]</f>
        <v>24.593333333333334</v>
      </c>
      <c r="V137" s="1">
        <f>Table13[[#This Row],[Indicative cost per 28 days1,5]]*13</f>
        <v>319.71333333333337</v>
      </c>
      <c r="X137" s="1" t="s">
        <v>614</v>
      </c>
      <c r="Y137" s="2" t="s">
        <v>5</v>
      </c>
      <c r="Z137" s="4" t="s">
        <v>618</v>
      </c>
      <c r="AB137" s="9" t="s">
        <v>17</v>
      </c>
      <c r="AC137" s="9" t="s">
        <v>5</v>
      </c>
      <c r="AD137" s="2" t="s">
        <v>63</v>
      </c>
      <c r="AE137" s="2" t="s">
        <v>63</v>
      </c>
      <c r="AF137" s="2" t="s">
        <v>63</v>
      </c>
      <c r="AG137" s="2" t="s">
        <v>63</v>
      </c>
      <c r="AH137" s="2" t="s">
        <v>63</v>
      </c>
      <c r="AI137" s="2" t="s">
        <v>63</v>
      </c>
      <c r="AJ137" s="2" t="s">
        <v>63</v>
      </c>
      <c r="AK137" s="2" t="s">
        <v>63</v>
      </c>
      <c r="AL137" s="2" t="s">
        <v>63</v>
      </c>
      <c r="AM137" s="2" t="s">
        <v>63</v>
      </c>
      <c r="AN137" s="2" t="s">
        <v>63</v>
      </c>
      <c r="AO137" s="2" t="s">
        <v>63</v>
      </c>
      <c r="AP137" s="2" t="s">
        <v>63</v>
      </c>
      <c r="AQ137" s="2" t="s">
        <v>63</v>
      </c>
      <c r="AR137" s="2" t="s">
        <v>63</v>
      </c>
      <c r="AS137" s="2">
        <v>13</v>
      </c>
    </row>
    <row r="138" spans="1:45" ht="30.75" x14ac:dyDescent="0.25">
      <c r="A138" s="2" t="s">
        <v>613</v>
      </c>
      <c r="B138" s="2" t="s">
        <v>64</v>
      </c>
      <c r="C138" s="2" t="s">
        <v>268</v>
      </c>
      <c r="D138" s="2" t="s">
        <v>43</v>
      </c>
      <c r="E138" s="2" t="s">
        <v>61</v>
      </c>
      <c r="F138" s="2" t="s">
        <v>259</v>
      </c>
      <c r="G138" s="2">
        <v>60</v>
      </c>
      <c r="H138" s="1">
        <v>26.35</v>
      </c>
      <c r="I138" s="1">
        <f t="shared" si="4"/>
        <v>0.43916666666666671</v>
      </c>
      <c r="J138" s="2" t="s">
        <v>12</v>
      </c>
      <c r="K138" s="2" t="s">
        <v>12</v>
      </c>
      <c r="L138" s="2" t="s">
        <v>5</v>
      </c>
      <c r="M138" s="27">
        <f>Table13[[#This Row],[Indicative carbon footprint /inhaler (g CO2e) 
Midpoint value7,8]]/Table13[[#This Row],[Doses per inhaler1,2]]</f>
        <v>3.8333333333333335</v>
      </c>
      <c r="N138" s="2">
        <v>230</v>
      </c>
      <c r="O138" s="10" t="s">
        <v>63</v>
      </c>
      <c r="P138" s="3">
        <v>56</v>
      </c>
      <c r="Q138" s="3">
        <f>Table13[[#This Row],[Indicative carbon footprint /puff (g CO2e) 
Midpoint value7,8]]*Table13[[#This Row],[Number of puffs per 28 days1-4]]</f>
        <v>214.66666666666669</v>
      </c>
      <c r="R138" s="37">
        <f>13*Table13[[#This Row],[Indicative carbon footprint per 28 days (g CO2e)]]</f>
        <v>2790.666666666667</v>
      </c>
      <c r="S138" s="3" t="str">
        <f>IF(Table13[[#This Row],[Indicative carbon footprint /puff (g CO2e) 
Midpoint value7,8]]&gt;=35,"High","Low")</f>
        <v>Low</v>
      </c>
      <c r="T138" s="3"/>
      <c r="U138" s="1">
        <f>Table13[[#This Row],[Number of puffs per 28 days1-4]]*Table13[[#This Row],[Cost/puff 1,5-7]]</f>
        <v>24.593333333333334</v>
      </c>
      <c r="V138" s="1">
        <f>Table13[[#This Row],[Indicative cost per 28 days1,5]]*13</f>
        <v>319.71333333333337</v>
      </c>
      <c r="W138" s="1"/>
      <c r="X138" s="1" t="s">
        <v>614</v>
      </c>
      <c r="Y138" s="2" t="s">
        <v>5</v>
      </c>
      <c r="Z138" s="4" t="s">
        <v>619</v>
      </c>
      <c r="AB138" s="9" t="s">
        <v>17</v>
      </c>
      <c r="AC138" s="9" t="s">
        <v>5</v>
      </c>
      <c r="AD138" s="2" t="s">
        <v>63</v>
      </c>
      <c r="AE138" s="2" t="s">
        <v>63</v>
      </c>
      <c r="AF138" s="2" t="s">
        <v>63</v>
      </c>
      <c r="AG138" s="2" t="s">
        <v>63</v>
      </c>
      <c r="AH138" s="2" t="s">
        <v>63</v>
      </c>
      <c r="AI138" s="2" t="s">
        <v>63</v>
      </c>
      <c r="AJ138" s="2" t="s">
        <v>63</v>
      </c>
      <c r="AK138" s="2" t="s">
        <v>63</v>
      </c>
      <c r="AL138" s="2" t="s">
        <v>63</v>
      </c>
      <c r="AM138" s="2" t="s">
        <v>63</v>
      </c>
      <c r="AN138" s="2" t="s">
        <v>63</v>
      </c>
      <c r="AO138" s="2" t="s">
        <v>63</v>
      </c>
      <c r="AP138" s="2" t="s">
        <v>63</v>
      </c>
      <c r="AQ138" s="2" t="s">
        <v>63</v>
      </c>
      <c r="AR138" s="2" t="s">
        <v>63</v>
      </c>
      <c r="AS138" s="10" t="s">
        <v>615</v>
      </c>
    </row>
    <row r="139" spans="1:45" ht="60" x14ac:dyDescent="0.25">
      <c r="A139" s="2" t="s">
        <v>470</v>
      </c>
      <c r="B139" s="2" t="s">
        <v>35</v>
      </c>
      <c r="C139" s="2" t="s">
        <v>269</v>
      </c>
      <c r="D139" s="2" t="s">
        <v>18</v>
      </c>
      <c r="E139" s="2" t="s">
        <v>11</v>
      </c>
      <c r="F139" s="2" t="s">
        <v>19</v>
      </c>
      <c r="G139" s="2">
        <v>120</v>
      </c>
      <c r="H139" s="1">
        <v>14</v>
      </c>
      <c r="I139" s="1">
        <f t="shared" si="4"/>
        <v>0.11666666666666667</v>
      </c>
      <c r="J139" s="2" t="s">
        <v>37</v>
      </c>
      <c r="K139" s="2" t="s">
        <v>37</v>
      </c>
      <c r="L139" s="2" t="s">
        <v>99</v>
      </c>
      <c r="M139" s="2">
        <v>286.67</v>
      </c>
      <c r="N139" s="2">
        <f>Table13[[#This Row],[Doses per inhaler1,2]]*Table13[[#This Row],[Indicative carbon footprint /puff (g CO2e) 
Midpoint value7,8]]</f>
        <v>34400.400000000001</v>
      </c>
      <c r="O139" s="10" t="s">
        <v>671</v>
      </c>
      <c r="P139" s="3">
        <v>224</v>
      </c>
      <c r="Q139" s="3">
        <f>Table13[[#This Row],[Indicative carbon footprint /puff (g CO2e) 
Midpoint value7,8]]*Table13[[#This Row],[Number of puffs per 28 days1-4]]</f>
        <v>64214.080000000002</v>
      </c>
      <c r="R139" s="3">
        <f>13*Table13[[#This Row],[Indicative carbon footprint per 28 days (g CO2e)]]</f>
        <v>834783.04</v>
      </c>
      <c r="S139" s="3" t="str">
        <f>IF(Table13[[#This Row],[Indicative carbon footprint /puff (g CO2e) 
Midpoint value7,8]]&gt;=35,"High","Low")</f>
        <v>High</v>
      </c>
      <c r="T139" s="3"/>
      <c r="U139" s="1">
        <f>Table13[[#This Row],[Number of puffs per 28 days1-4]]*Table13[[#This Row],[Cost/puff 1,5-7]]</f>
        <v>26.133333333333333</v>
      </c>
      <c r="V139" s="1">
        <f>Table13[[#This Row],[Indicative cost per 28 days1,5]]*13</f>
        <v>339.73333333333335</v>
      </c>
      <c r="X139" s="1" t="s">
        <v>14</v>
      </c>
      <c r="Y139" s="2" t="s">
        <v>307</v>
      </c>
      <c r="Z139" s="4" t="s">
        <v>270</v>
      </c>
      <c r="AD139" s="2" t="s">
        <v>295</v>
      </c>
      <c r="AE139" s="2" t="s">
        <v>63</v>
      </c>
      <c r="AF139" s="2" t="s">
        <v>63</v>
      </c>
      <c r="AG139" s="2" t="s">
        <v>63</v>
      </c>
      <c r="AH139" s="2" t="s">
        <v>63</v>
      </c>
      <c r="AI139" s="2" t="s">
        <v>63</v>
      </c>
      <c r="AJ139" s="2" t="s">
        <v>63</v>
      </c>
      <c r="AK139" s="2" t="s">
        <v>63</v>
      </c>
      <c r="AL139" s="2" t="s">
        <v>63</v>
      </c>
      <c r="AM139" s="2" t="s">
        <v>63</v>
      </c>
      <c r="AN139" s="2" t="s">
        <v>63</v>
      </c>
      <c r="AO139" s="2" t="s">
        <v>63</v>
      </c>
      <c r="AP139" s="2" t="s">
        <v>63</v>
      </c>
      <c r="AQ139" s="2" t="s">
        <v>63</v>
      </c>
      <c r="AR139" s="2" t="s">
        <v>63</v>
      </c>
      <c r="AS139" s="10" t="s">
        <v>313</v>
      </c>
    </row>
    <row r="140" spans="1:45" ht="60" x14ac:dyDescent="0.25">
      <c r="A140" s="2" t="s">
        <v>471</v>
      </c>
      <c r="B140" s="2" t="s">
        <v>35</v>
      </c>
      <c r="C140" s="2" t="s">
        <v>472</v>
      </c>
      <c r="D140" s="2" t="s">
        <v>18</v>
      </c>
      <c r="E140" s="2" t="s">
        <v>11</v>
      </c>
      <c r="F140" s="2" t="s">
        <v>6</v>
      </c>
      <c r="G140" s="2">
        <v>120</v>
      </c>
      <c r="H140" s="1">
        <v>28</v>
      </c>
      <c r="I140" s="1">
        <f t="shared" si="4"/>
        <v>0.23333333333333334</v>
      </c>
      <c r="J140" s="2" t="s">
        <v>76</v>
      </c>
      <c r="K140" s="2" t="s">
        <v>271</v>
      </c>
      <c r="L140" s="2" t="s">
        <v>99</v>
      </c>
      <c r="M140" s="2">
        <v>4.83</v>
      </c>
      <c r="N140" s="2">
        <f>Table13[[#This Row],[Doses per inhaler1,2]]*Table13[[#This Row],[Indicative carbon footprint /puff (g CO2e) 
Midpoint value7,8]]</f>
        <v>579.6</v>
      </c>
      <c r="O140" s="10" t="s">
        <v>671</v>
      </c>
      <c r="P140" s="3">
        <v>112</v>
      </c>
      <c r="Q140" s="3">
        <f>Table13[[#This Row],[Indicative carbon footprint /puff (g CO2e) 
Midpoint value7,8]]*Table13[[#This Row],[Number of puffs per 28 days1-4]]</f>
        <v>540.96</v>
      </c>
      <c r="R140" s="3">
        <f>13*Table13[[#This Row],[Indicative carbon footprint per 28 days (g CO2e)]]</f>
        <v>7032.4800000000005</v>
      </c>
      <c r="S140" s="3" t="str">
        <f>IF(Table13[[#This Row],[Indicative carbon footprint /puff (g CO2e) 
Midpoint value7,8]]&gt;=35,"High","Low")</f>
        <v>Low</v>
      </c>
      <c r="T140" s="3"/>
      <c r="U140" s="1">
        <f>Table13[[#This Row],[Number of puffs per 28 days1-4]]*Table13[[#This Row],[Cost/puff 1,5-7]]</f>
        <v>26.133333333333333</v>
      </c>
      <c r="V140" s="1">
        <f>Table13[[#This Row],[Indicative cost per 28 days1,5]]*13</f>
        <v>339.73333333333335</v>
      </c>
      <c r="X140" s="1" t="s">
        <v>14</v>
      </c>
      <c r="Y140" s="2" t="s">
        <v>5</v>
      </c>
      <c r="Z140" s="4" t="s">
        <v>272</v>
      </c>
      <c r="AB140" s="2" t="s">
        <v>17</v>
      </c>
      <c r="AC140" s="9" t="s">
        <v>5</v>
      </c>
      <c r="AD140" s="2" t="s">
        <v>295</v>
      </c>
      <c r="AE140" s="2" t="s">
        <v>63</v>
      </c>
      <c r="AF140" s="2" t="s">
        <v>63</v>
      </c>
      <c r="AG140" s="2" t="s">
        <v>63</v>
      </c>
      <c r="AH140" s="2" t="s">
        <v>63</v>
      </c>
      <c r="AI140" s="2" t="s">
        <v>63</v>
      </c>
      <c r="AJ140" s="2" t="s">
        <v>63</v>
      </c>
      <c r="AK140" s="2" t="s">
        <v>63</v>
      </c>
      <c r="AL140" s="2" t="s">
        <v>63</v>
      </c>
      <c r="AM140" s="2" t="s">
        <v>63</v>
      </c>
      <c r="AN140" s="2" t="s">
        <v>63</v>
      </c>
      <c r="AO140" s="2" t="s">
        <v>63</v>
      </c>
      <c r="AP140" s="2" t="s">
        <v>63</v>
      </c>
      <c r="AQ140" s="2" t="s">
        <v>63</v>
      </c>
      <c r="AR140" s="2" t="s">
        <v>63</v>
      </c>
      <c r="AS140" s="2" t="s">
        <v>310</v>
      </c>
    </row>
    <row r="141" spans="1:45" ht="60" x14ac:dyDescent="0.25">
      <c r="A141" s="2" t="s">
        <v>473</v>
      </c>
      <c r="B141" s="2" t="s">
        <v>35</v>
      </c>
      <c r="C141" s="2" t="s">
        <v>474</v>
      </c>
      <c r="D141" s="2" t="s">
        <v>43</v>
      </c>
      <c r="E141" s="2" t="s">
        <v>11</v>
      </c>
      <c r="F141" s="2" t="s">
        <v>19</v>
      </c>
      <c r="G141" s="2">
        <v>120</v>
      </c>
      <c r="H141" s="1">
        <v>28</v>
      </c>
      <c r="I141" s="1">
        <f t="shared" si="4"/>
        <v>0.23333333333333334</v>
      </c>
      <c r="J141" s="2" t="s">
        <v>12</v>
      </c>
      <c r="K141" s="2" t="s">
        <v>12</v>
      </c>
      <c r="L141" s="2" t="s">
        <v>5</v>
      </c>
      <c r="M141" s="2">
        <v>286.67</v>
      </c>
      <c r="N141" s="2">
        <f>Table13[[#This Row],[Doses per inhaler1,2]]*Table13[[#This Row],[Indicative carbon footprint /puff (g CO2e) 
Midpoint value7,8]]</f>
        <v>34400.400000000001</v>
      </c>
      <c r="O141" s="10" t="s">
        <v>671</v>
      </c>
      <c r="P141" s="3">
        <v>112</v>
      </c>
      <c r="Q141" s="3">
        <f>Table13[[#This Row],[Indicative carbon footprint /puff (g CO2e) 
Midpoint value7,8]]*Table13[[#This Row],[Number of puffs per 28 days1-4]]</f>
        <v>32107.040000000001</v>
      </c>
      <c r="R141" s="3">
        <f>13*Table13[[#This Row],[Indicative carbon footprint per 28 days (g CO2e)]]</f>
        <v>417391.52</v>
      </c>
      <c r="S141" s="3" t="str">
        <f>IF(Table13[[#This Row],[Indicative carbon footprint /puff (g CO2e) 
Midpoint value7,8]]&gt;=35,"High","Low")</f>
        <v>High</v>
      </c>
      <c r="T141" s="3"/>
      <c r="U141" s="1">
        <f>Table13[[#This Row],[Number of puffs per 28 days1-4]]*Table13[[#This Row],[Cost/puff 1,5-7]]</f>
        <v>26.133333333333333</v>
      </c>
      <c r="V141" s="1">
        <f>Table13[[#This Row],[Indicative cost per 28 days1,5]]*13</f>
        <v>339.73333333333335</v>
      </c>
      <c r="X141" s="1" t="s">
        <v>14</v>
      </c>
      <c r="Y141" s="2" t="s">
        <v>307</v>
      </c>
      <c r="Z141" s="4" t="s">
        <v>273</v>
      </c>
      <c r="AD141" s="2" t="s">
        <v>295</v>
      </c>
      <c r="AE141" s="2" t="s">
        <v>63</v>
      </c>
      <c r="AF141" s="2" t="s">
        <v>63</v>
      </c>
      <c r="AG141" s="2" t="s">
        <v>63</v>
      </c>
      <c r="AH141" s="2" t="s">
        <v>63</v>
      </c>
      <c r="AI141" s="2" t="s">
        <v>63</v>
      </c>
      <c r="AJ141" s="2" t="s">
        <v>63</v>
      </c>
      <c r="AK141" s="2" t="s">
        <v>63</v>
      </c>
      <c r="AL141" s="2" t="s">
        <v>63</v>
      </c>
      <c r="AM141" s="2" t="s">
        <v>63</v>
      </c>
      <c r="AN141" s="2" t="s">
        <v>63</v>
      </c>
      <c r="AO141" s="2" t="s">
        <v>63</v>
      </c>
      <c r="AP141" s="2" t="s">
        <v>63</v>
      </c>
      <c r="AQ141" s="2" t="s">
        <v>63</v>
      </c>
      <c r="AR141" s="2" t="s">
        <v>63</v>
      </c>
      <c r="AS141" s="2" t="s">
        <v>310</v>
      </c>
    </row>
    <row r="142" spans="1:45" ht="60" x14ac:dyDescent="0.25">
      <c r="A142" s="2" t="s">
        <v>475</v>
      </c>
      <c r="B142" s="2" t="s">
        <v>35</v>
      </c>
      <c r="C142" s="2" t="s">
        <v>380</v>
      </c>
      <c r="D142" s="2" t="s">
        <v>10</v>
      </c>
      <c r="E142" s="2" t="s">
        <v>11</v>
      </c>
      <c r="F142" s="2" t="s">
        <v>6</v>
      </c>
      <c r="G142" s="2">
        <v>120</v>
      </c>
      <c r="H142" s="1">
        <v>28</v>
      </c>
      <c r="I142" s="1">
        <f t="shared" si="4"/>
        <v>0.23333333333333334</v>
      </c>
      <c r="J142" s="2" t="s">
        <v>37</v>
      </c>
      <c r="K142" s="2" t="s">
        <v>274</v>
      </c>
      <c r="L142" s="2" t="s">
        <v>99</v>
      </c>
      <c r="M142" s="2">
        <v>6.67</v>
      </c>
      <c r="N142" s="2">
        <f>Table13[[#This Row],[Doses per inhaler1,2]]*Table13[[#This Row],[Indicative carbon footprint /puff (g CO2e) 
Midpoint value7,8]]</f>
        <v>800.4</v>
      </c>
      <c r="O142" s="10" t="s">
        <v>671</v>
      </c>
      <c r="P142" s="3">
        <v>112</v>
      </c>
      <c r="Q142" s="3">
        <f>Table13[[#This Row],[Indicative carbon footprint /puff (g CO2e) 
Midpoint value7,8]]*Table13[[#This Row],[Number of puffs per 28 days1-4]]</f>
        <v>747.04</v>
      </c>
      <c r="R142" s="3">
        <f>13*Table13[[#This Row],[Indicative carbon footprint per 28 days (g CO2e)]]</f>
        <v>9711.52</v>
      </c>
      <c r="S142" s="3" t="str">
        <f>IF(Table13[[#This Row],[Indicative carbon footprint /puff (g CO2e) 
Midpoint value7,8]]&gt;=35,"High","Low")</f>
        <v>Low</v>
      </c>
      <c r="T142" s="3"/>
      <c r="U142" s="1">
        <f>Table13[[#This Row],[Number of puffs per 28 days1-4]]*Table13[[#This Row],[Cost/puff 1,5-7]]</f>
        <v>26.133333333333333</v>
      </c>
      <c r="V142" s="1">
        <f>Table13[[#This Row],[Indicative cost per 28 days1,5]]*13</f>
        <v>339.73333333333335</v>
      </c>
      <c r="X142" s="1" t="s">
        <v>14</v>
      </c>
      <c r="Y142" s="2" t="s">
        <v>5</v>
      </c>
      <c r="Z142" s="4" t="s">
        <v>275</v>
      </c>
      <c r="AB142" s="2" t="s">
        <v>17</v>
      </c>
      <c r="AC142" s="9" t="s">
        <v>5</v>
      </c>
      <c r="AD142" s="2" t="s">
        <v>295</v>
      </c>
      <c r="AE142" s="2" t="s">
        <v>63</v>
      </c>
      <c r="AF142" s="2" t="s">
        <v>63</v>
      </c>
      <c r="AG142" s="2" t="s">
        <v>63</v>
      </c>
      <c r="AH142" s="2" t="s">
        <v>63</v>
      </c>
      <c r="AI142" s="2" t="s">
        <v>63</v>
      </c>
      <c r="AJ142" s="2" t="s">
        <v>63</v>
      </c>
      <c r="AK142" s="2" t="s">
        <v>63</v>
      </c>
      <c r="AL142" s="2" t="s">
        <v>63</v>
      </c>
      <c r="AM142" s="2" t="s">
        <v>63</v>
      </c>
      <c r="AN142" s="2" t="s">
        <v>63</v>
      </c>
      <c r="AO142" s="2" t="s">
        <v>63</v>
      </c>
      <c r="AP142" s="2" t="s">
        <v>63</v>
      </c>
      <c r="AQ142" s="2" t="s">
        <v>63</v>
      </c>
      <c r="AR142" s="2" t="s">
        <v>63</v>
      </c>
      <c r="AS142" s="2" t="s">
        <v>310</v>
      </c>
    </row>
    <row r="143" spans="1:45" ht="60" x14ac:dyDescent="0.25">
      <c r="A143" s="28" t="s">
        <v>476</v>
      </c>
      <c r="B143" s="2" t="s">
        <v>35</v>
      </c>
      <c r="C143" s="2" t="s">
        <v>382</v>
      </c>
      <c r="D143" s="2" t="s">
        <v>10</v>
      </c>
      <c r="E143" s="2" t="s">
        <v>11</v>
      </c>
      <c r="F143" s="2" t="s">
        <v>6</v>
      </c>
      <c r="G143" s="2">
        <v>60</v>
      </c>
      <c r="H143" s="1">
        <v>28</v>
      </c>
      <c r="I143" s="1">
        <f t="shared" si="4"/>
        <v>0.46666666666666667</v>
      </c>
      <c r="J143" s="2" t="s">
        <v>37</v>
      </c>
      <c r="K143" s="2" t="s">
        <v>276</v>
      </c>
      <c r="L143" s="2" t="s">
        <v>13</v>
      </c>
      <c r="M143" s="2">
        <v>17.5</v>
      </c>
      <c r="N143" s="2">
        <f>Table13[[#This Row],[Doses per inhaler1,2]]*Table13[[#This Row],[Indicative carbon footprint /puff (g CO2e) 
Midpoint value7,8]]</f>
        <v>1050</v>
      </c>
      <c r="O143" s="10" t="s">
        <v>671</v>
      </c>
      <c r="P143" s="3">
        <v>56</v>
      </c>
      <c r="Q143" s="29">
        <f>Table13[[#This Row],[Indicative carbon footprint /puff (g CO2e) 
Midpoint value7,8]]*Table13[[#This Row],[Number of puffs per 28 days1-4]]</f>
        <v>980</v>
      </c>
      <c r="R143" s="3">
        <f>13*Table13[[#This Row],[Indicative carbon footprint per 28 days (g CO2e)]]</f>
        <v>12740</v>
      </c>
      <c r="S143" s="3" t="str">
        <f>IF(Table13[[#This Row],[Indicative carbon footprint /puff (g CO2e) 
Midpoint value7,8]]&gt;=35,"High","Low")</f>
        <v>Low</v>
      </c>
      <c r="T143" s="3"/>
      <c r="U143" s="1">
        <f>Table13[[#This Row],[Number of puffs per 28 days1-4]]*Table13[[#This Row],[Cost/puff 1,5-7]]</f>
        <v>26.133333333333333</v>
      </c>
      <c r="V143" s="1">
        <f>Table13[[#This Row],[Indicative cost per 28 days1,5]]*13</f>
        <v>339.73333333333335</v>
      </c>
      <c r="W143" s="28"/>
      <c r="X143" s="1" t="s">
        <v>14</v>
      </c>
      <c r="Y143" s="2" t="s">
        <v>5</v>
      </c>
      <c r="Z143" s="4" t="s">
        <v>277</v>
      </c>
      <c r="AB143" s="2" t="s">
        <v>17</v>
      </c>
      <c r="AC143" s="9" t="s">
        <v>5</v>
      </c>
      <c r="AD143" s="2" t="s">
        <v>295</v>
      </c>
      <c r="AE143" s="2" t="s">
        <v>63</v>
      </c>
      <c r="AF143" s="2" t="s">
        <v>63</v>
      </c>
      <c r="AG143" s="2" t="s">
        <v>63</v>
      </c>
      <c r="AH143" s="2" t="s">
        <v>63</v>
      </c>
      <c r="AI143" s="2" t="s">
        <v>63</v>
      </c>
      <c r="AJ143" s="2" t="s">
        <v>63</v>
      </c>
      <c r="AK143" s="2" t="s">
        <v>63</v>
      </c>
      <c r="AL143" s="2" t="s">
        <v>63</v>
      </c>
      <c r="AM143" s="2" t="s">
        <v>63</v>
      </c>
      <c r="AN143" s="2" t="s">
        <v>63</v>
      </c>
      <c r="AO143" s="2" t="s">
        <v>63</v>
      </c>
      <c r="AP143" s="2" t="s">
        <v>63</v>
      </c>
      <c r="AQ143" s="2" t="s">
        <v>63</v>
      </c>
      <c r="AR143" s="2" t="s">
        <v>63</v>
      </c>
      <c r="AS143" s="2" t="s">
        <v>310</v>
      </c>
    </row>
    <row r="144" spans="1:45" ht="30" x14ac:dyDescent="0.25">
      <c r="A144" s="28" t="s">
        <v>503</v>
      </c>
      <c r="B144" s="2" t="s">
        <v>248</v>
      </c>
      <c r="C144" s="2" t="s">
        <v>605</v>
      </c>
      <c r="D144" s="2" t="s">
        <v>43</v>
      </c>
      <c r="E144" s="2" t="s">
        <v>113</v>
      </c>
      <c r="F144" s="2" t="s">
        <v>6</v>
      </c>
      <c r="G144" s="2">
        <v>30</v>
      </c>
      <c r="H144" s="1">
        <v>19.2</v>
      </c>
      <c r="I144" s="1">
        <f t="shared" si="4"/>
        <v>0.64</v>
      </c>
      <c r="J144" s="2" t="s">
        <v>12</v>
      </c>
      <c r="K144" s="2" t="s">
        <v>12</v>
      </c>
      <c r="L144" s="2" t="s">
        <v>5</v>
      </c>
      <c r="M144" s="2">
        <v>18.75</v>
      </c>
      <c r="N144" s="2">
        <f>Table13[[#This Row],[Doses per inhaler1,2]]*Table13[[#This Row],[Indicative carbon footprint /puff (g CO2e) 
Midpoint value7,8]]</f>
        <v>562.5</v>
      </c>
      <c r="O144" s="10" t="s">
        <v>63</v>
      </c>
      <c r="P144" s="3">
        <v>28</v>
      </c>
      <c r="Q144" s="29">
        <f>Table13[[#This Row],[Indicative carbon footprint /puff (g CO2e) 
Midpoint value7,8]]*Table13[[#This Row],[Number of puffs per 28 days1-4]]</f>
        <v>525</v>
      </c>
      <c r="R144" s="3">
        <f>13*Table13[[#This Row],[Indicative carbon footprint per 28 days (g CO2e)]]</f>
        <v>6825</v>
      </c>
      <c r="S144" s="3" t="str">
        <f>IF(Table13[[#This Row],[Indicative carbon footprint /puff (g CO2e) 
Midpoint value7,8]]&gt;=35,"High","Low")</f>
        <v>Low</v>
      </c>
      <c r="T144" s="3"/>
      <c r="U144" s="1">
        <f>Table13[[#This Row],[Number of puffs per 28 days1-4]]*Table13[[#This Row],[Cost/puff 1,5-7]]</f>
        <v>17.920000000000002</v>
      </c>
      <c r="V144" s="1">
        <f>Table13[[#This Row],[Indicative cost per 28 days1,5]]*13</f>
        <v>232.96000000000004</v>
      </c>
      <c r="W144" s="32"/>
      <c r="X144" s="2" t="s">
        <v>7</v>
      </c>
      <c r="Y144" s="2" t="s">
        <v>5</v>
      </c>
      <c r="Z144" s="4" t="s">
        <v>724</v>
      </c>
      <c r="AB144" s="2" t="s">
        <v>17</v>
      </c>
      <c r="AC144" s="9" t="s">
        <v>5</v>
      </c>
      <c r="AD144" s="2" t="s">
        <v>63</v>
      </c>
      <c r="AE144" s="2" t="s">
        <v>63</v>
      </c>
      <c r="AF144" s="2" t="s">
        <v>63</v>
      </c>
      <c r="AG144" s="2" t="s">
        <v>63</v>
      </c>
      <c r="AH144" s="2" t="s">
        <v>63</v>
      </c>
      <c r="AI144" s="2" t="s">
        <v>63</v>
      </c>
      <c r="AJ144" s="2" t="s">
        <v>63</v>
      </c>
      <c r="AK144" s="2" t="s">
        <v>63</v>
      </c>
      <c r="AL144" s="2" t="s">
        <v>63</v>
      </c>
      <c r="AM144" s="2" t="s">
        <v>63</v>
      </c>
      <c r="AN144" s="2" t="s">
        <v>63</v>
      </c>
      <c r="AO144" s="2" t="s">
        <v>63</v>
      </c>
      <c r="AP144" s="2" t="s">
        <v>63</v>
      </c>
      <c r="AQ144" s="2" t="s">
        <v>63</v>
      </c>
      <c r="AR144" s="2" t="s">
        <v>63</v>
      </c>
      <c r="AS144" s="10" t="s">
        <v>313</v>
      </c>
    </row>
    <row r="145" spans="1:45" ht="30" x14ac:dyDescent="0.25">
      <c r="A145" s="2" t="s">
        <v>606</v>
      </c>
      <c r="B145" s="2" t="s">
        <v>248</v>
      </c>
      <c r="C145" s="2" t="s">
        <v>499</v>
      </c>
      <c r="D145" s="2" t="s">
        <v>43</v>
      </c>
      <c r="E145" s="2" t="s">
        <v>113</v>
      </c>
      <c r="F145" s="2" t="s">
        <v>6</v>
      </c>
      <c r="G145" s="2">
        <v>30</v>
      </c>
      <c r="H145" s="1">
        <v>19.989999999999998</v>
      </c>
      <c r="I145" s="1">
        <f t="shared" si="4"/>
        <v>0.66633333333333333</v>
      </c>
      <c r="J145" s="2" t="s">
        <v>12</v>
      </c>
      <c r="K145" s="2" t="s">
        <v>12</v>
      </c>
      <c r="L145" s="2" t="s">
        <v>5</v>
      </c>
      <c r="M145" s="2">
        <v>18.75</v>
      </c>
      <c r="N145" s="2">
        <f>Table13[[#This Row],[Doses per inhaler1,2]]*Table13[[#This Row],[Indicative carbon footprint /puff (g CO2e) 
Midpoint value7,8]]</f>
        <v>562.5</v>
      </c>
      <c r="O145" s="10" t="s">
        <v>63</v>
      </c>
      <c r="P145" s="3">
        <v>28</v>
      </c>
      <c r="Q145" s="3">
        <f>Table13[[#This Row],[Indicative carbon footprint /puff (g CO2e) 
Midpoint value7,8]]*Table13[[#This Row],[Number of puffs per 28 days1-4]]</f>
        <v>525</v>
      </c>
      <c r="R145" s="3">
        <f>13*Table13[[#This Row],[Indicative carbon footprint per 28 days (g CO2e)]]</f>
        <v>6825</v>
      </c>
      <c r="S145" s="3" t="str">
        <f>IF(Table13[[#This Row],[Indicative carbon footprint /puff (g CO2e) 
Midpoint value7,8]]&gt;=35,"High","Low")</f>
        <v>Low</v>
      </c>
      <c r="T145" s="3"/>
      <c r="U145" s="1">
        <f>Table13[[#This Row],[Number of puffs per 28 days1-4]]*Table13[[#This Row],[Cost/puff 1,5-7]]</f>
        <v>18.657333333333334</v>
      </c>
      <c r="V145" s="1">
        <f>Table13[[#This Row],[Indicative cost per 28 days1,5]]*13</f>
        <v>242.54533333333333</v>
      </c>
      <c r="W145" s="1"/>
      <c r="X145" s="2" t="s">
        <v>7</v>
      </c>
      <c r="Y145" s="2" t="s">
        <v>5</v>
      </c>
      <c r="Z145" s="4" t="s">
        <v>329</v>
      </c>
      <c r="AB145" s="2" t="s">
        <v>17</v>
      </c>
      <c r="AC145" s="9" t="s">
        <v>5</v>
      </c>
      <c r="AD145" s="2" t="s">
        <v>63</v>
      </c>
      <c r="AE145" s="2" t="s">
        <v>63</v>
      </c>
      <c r="AF145" s="2" t="s">
        <v>63</v>
      </c>
      <c r="AG145" s="2" t="s">
        <v>63</v>
      </c>
      <c r="AH145" s="2" t="s">
        <v>63</v>
      </c>
      <c r="AI145" s="2" t="s">
        <v>63</v>
      </c>
      <c r="AJ145" s="2" t="s">
        <v>63</v>
      </c>
      <c r="AK145" s="2" t="s">
        <v>63</v>
      </c>
      <c r="AL145" s="2" t="s">
        <v>63</v>
      </c>
      <c r="AM145" s="2" t="s">
        <v>63</v>
      </c>
      <c r="AN145" s="2" t="s">
        <v>63</v>
      </c>
      <c r="AO145" s="2" t="s">
        <v>63</v>
      </c>
      <c r="AP145" s="2" t="s">
        <v>63</v>
      </c>
      <c r="AQ145" s="2" t="s">
        <v>63</v>
      </c>
      <c r="AR145" s="2" t="s">
        <v>63</v>
      </c>
      <c r="AS145" s="10" t="s">
        <v>313</v>
      </c>
    </row>
    <row r="146" spans="1:45" ht="105" x14ac:dyDescent="0.25">
      <c r="A146" s="2" t="s">
        <v>282</v>
      </c>
      <c r="B146" s="2" t="s">
        <v>41</v>
      </c>
      <c r="C146" s="2" t="s">
        <v>502</v>
      </c>
      <c r="D146" s="2" t="s">
        <v>43</v>
      </c>
      <c r="E146" s="2" t="s">
        <v>117</v>
      </c>
      <c r="F146" s="2" t="s">
        <v>6</v>
      </c>
      <c r="G146" s="2">
        <v>30</v>
      </c>
      <c r="H146" s="1">
        <v>44.5</v>
      </c>
      <c r="I146" s="1">
        <f t="shared" si="4"/>
        <v>1.4833333333333334</v>
      </c>
      <c r="J146" s="2" t="s">
        <v>12</v>
      </c>
      <c r="K146" s="2" t="s">
        <v>12</v>
      </c>
      <c r="L146" s="2" t="s">
        <v>5</v>
      </c>
      <c r="M146" s="2">
        <v>26</v>
      </c>
      <c r="N146" s="2">
        <v>765</v>
      </c>
      <c r="O146" s="10" t="s">
        <v>671</v>
      </c>
      <c r="P146" s="3">
        <v>28</v>
      </c>
      <c r="Q146" s="3">
        <f>Table13[[#This Row],[Indicative carbon footprint /puff (g CO2e) 
Midpoint value7,8]]*Table13[[#This Row],[Number of puffs per 28 days1-4]]</f>
        <v>728</v>
      </c>
      <c r="R146" s="3">
        <f>13*Table13[[#This Row],[Indicative carbon footprint per 28 days (g CO2e)]]</f>
        <v>9464</v>
      </c>
      <c r="S146" s="3" t="str">
        <f>IF(Table13[[#This Row],[Indicative carbon footprint /puff (g CO2e) 
Midpoint value7,8]]&gt;=35,"High","Low")</f>
        <v>Low</v>
      </c>
      <c r="T146" s="3" t="s">
        <v>734</v>
      </c>
      <c r="U146" s="1">
        <f>Table13[[#This Row],[Number of puffs per 28 days1-4]]*Table13[[#This Row],[Cost/puff 1,5-7]]</f>
        <v>41.533333333333331</v>
      </c>
      <c r="V146" s="1">
        <f>Table13[[#This Row],[Indicative cost per 28 days1,5]]*13</f>
        <v>539.93333333333328</v>
      </c>
      <c r="X146" s="1" t="s">
        <v>14</v>
      </c>
      <c r="Y146" s="2" t="s">
        <v>5</v>
      </c>
      <c r="Z146" s="4" t="s">
        <v>283</v>
      </c>
      <c r="AA146" s="2" t="s">
        <v>45</v>
      </c>
      <c r="AB146" s="2" t="s">
        <v>17</v>
      </c>
      <c r="AC146" s="9" t="s">
        <v>5</v>
      </c>
      <c r="AD146" s="2" t="s">
        <v>46</v>
      </c>
      <c r="AE146" s="2">
        <v>28</v>
      </c>
      <c r="AF146" s="2">
        <v>235</v>
      </c>
      <c r="AG146" s="2" t="s">
        <v>515</v>
      </c>
      <c r="AH146" s="2" t="s">
        <v>322</v>
      </c>
      <c r="AI146" s="2">
        <v>359</v>
      </c>
      <c r="AJ146" s="2" t="s">
        <v>516</v>
      </c>
      <c r="AK146" s="2" t="s">
        <v>516</v>
      </c>
      <c r="AL146" s="2">
        <v>29</v>
      </c>
      <c r="AM146" s="2">
        <v>62</v>
      </c>
      <c r="AN146" s="2">
        <v>52</v>
      </c>
      <c r="AO146" s="2" t="s">
        <v>63</v>
      </c>
      <c r="AP146" s="2" t="s">
        <v>5</v>
      </c>
      <c r="AQ146" s="2" t="s">
        <v>5</v>
      </c>
      <c r="AR146" s="2" t="s">
        <v>732</v>
      </c>
      <c r="AS146" s="2" t="s">
        <v>310</v>
      </c>
    </row>
    <row r="147" spans="1:45" ht="120" x14ac:dyDescent="0.2">
      <c r="A147" s="2" t="s">
        <v>769</v>
      </c>
      <c r="B147" s="2" t="s">
        <v>60</v>
      </c>
      <c r="C147" s="2" t="s">
        <v>770</v>
      </c>
      <c r="D147" s="2" t="s">
        <v>18</v>
      </c>
      <c r="E147" s="2" t="s">
        <v>117</v>
      </c>
      <c r="F147" s="2" t="s">
        <v>19</v>
      </c>
      <c r="G147" s="2">
        <v>120</v>
      </c>
      <c r="H147" s="1">
        <v>44.5</v>
      </c>
      <c r="I147" s="1">
        <f t="shared" si="4"/>
        <v>0.37083333333333335</v>
      </c>
      <c r="J147" s="2" t="s">
        <v>12</v>
      </c>
      <c r="K147" s="2" t="s">
        <v>12</v>
      </c>
      <c r="L147" s="2" t="s">
        <v>5</v>
      </c>
      <c r="M147" s="2">
        <v>118.19</v>
      </c>
      <c r="N147" s="2">
        <f>Table13[[#This Row],[Doses per inhaler1,2]]*Table13[[#This Row],[Indicative carbon footprint /puff (g CO2e) 
Midpoint value7,8]]</f>
        <v>14182.8</v>
      </c>
      <c r="O147" s="10" t="s">
        <v>671</v>
      </c>
      <c r="P147" s="3">
        <v>112</v>
      </c>
      <c r="Q147" s="29">
        <f>Table13[[#This Row],[Indicative carbon footprint /puff (g CO2e) 
Midpoint value7,8]]*Table13[[#This Row],[Number of puffs per 28 days1-4]]</f>
        <v>13237.279999999999</v>
      </c>
      <c r="R147" s="29">
        <f>13*Table13[[#This Row],[Indicative carbon footprint per 28 days (g CO2e)]]</f>
        <v>172084.63999999998</v>
      </c>
      <c r="S147" s="3" t="str">
        <f>IF(Table13[[#This Row],[Indicative carbon footprint /puff (g CO2e) 
Midpoint value7,8]]&gt;=35,"High","Low")</f>
        <v>High</v>
      </c>
      <c r="T147" s="3" t="s">
        <v>734</v>
      </c>
      <c r="U147" s="1">
        <f>Table13[[#This Row],[Number of puffs per 28 days1-4]]*Table13[[#This Row],[Cost/puff 1,5-7]]</f>
        <v>41.533333333333331</v>
      </c>
      <c r="V147" s="1">
        <f>Table13[[#This Row],[Indicative cost per 28 days1,5]]*13</f>
        <v>539.93333333333328</v>
      </c>
      <c r="W147" s="32"/>
      <c r="X147" s="1" t="s">
        <v>14</v>
      </c>
      <c r="Y147" s="2" t="s">
        <v>210</v>
      </c>
      <c r="Z147" s="4" t="s">
        <v>771</v>
      </c>
      <c r="AA147" s="2" t="s">
        <v>45</v>
      </c>
      <c r="AB147" s="2" t="s">
        <v>5</v>
      </c>
      <c r="AC147" s="11" t="s">
        <v>29</v>
      </c>
      <c r="AD147" s="2" t="s">
        <v>85</v>
      </c>
      <c r="AE147" s="47">
        <v>198</v>
      </c>
      <c r="AF147" s="47">
        <v>114</v>
      </c>
      <c r="AG147" s="47">
        <v>141.6</v>
      </c>
      <c r="AH147" s="47">
        <v>15.6</v>
      </c>
      <c r="AI147" s="47">
        <v>163.19999999999999</v>
      </c>
      <c r="AJ147" s="47">
        <v>1.2</v>
      </c>
      <c r="AK147" s="47">
        <v>196.8</v>
      </c>
      <c r="AL147" s="47">
        <v>43.2</v>
      </c>
      <c r="AM147" s="47">
        <v>10104</v>
      </c>
      <c r="AN147" s="47">
        <v>3205.2</v>
      </c>
      <c r="AO147" s="2" t="s">
        <v>63</v>
      </c>
      <c r="AP147" s="2" t="s">
        <v>16</v>
      </c>
      <c r="AQ147" s="48" t="s">
        <v>923</v>
      </c>
      <c r="AR147" s="2" t="s">
        <v>623</v>
      </c>
      <c r="AS147" s="10" t="s">
        <v>313</v>
      </c>
    </row>
    <row r="148" spans="1:45" ht="120" x14ac:dyDescent="0.2">
      <c r="A148" s="28" t="s">
        <v>504</v>
      </c>
      <c r="B148" s="2" t="s">
        <v>60</v>
      </c>
      <c r="C148" s="2" t="s">
        <v>501</v>
      </c>
      <c r="D148" s="2" t="s">
        <v>10</v>
      </c>
      <c r="E148" s="2" t="s">
        <v>117</v>
      </c>
      <c r="F148" s="2" t="s">
        <v>19</v>
      </c>
      <c r="G148" s="2">
        <v>120</v>
      </c>
      <c r="H148" s="1">
        <v>44.5</v>
      </c>
      <c r="I148" s="1">
        <f t="shared" si="4"/>
        <v>0.37083333333333335</v>
      </c>
      <c r="J148" s="2" t="s">
        <v>12</v>
      </c>
      <c r="K148" s="2" t="s">
        <v>12</v>
      </c>
      <c r="L148" s="2" t="s">
        <v>5</v>
      </c>
      <c r="M148" s="2">
        <v>118.36</v>
      </c>
      <c r="N148" s="2">
        <f>Table13[[#This Row],[Doses per inhaler1,2]]*Table13[[#This Row],[Indicative carbon footprint /puff (g CO2e) 
Midpoint value7,8]]</f>
        <v>14203.2</v>
      </c>
      <c r="O148" s="10" t="s">
        <v>671</v>
      </c>
      <c r="P148" s="3">
        <v>112</v>
      </c>
      <c r="Q148" s="29">
        <f>Table13[[#This Row],[Indicative carbon footprint /puff (g CO2e) 
Midpoint value7,8]]*Table13[[#This Row],[Number of puffs per 28 days1-4]]</f>
        <v>13256.32</v>
      </c>
      <c r="R148" s="3">
        <f>13*Table13[[#This Row],[Indicative carbon footprint per 28 days (g CO2e)]]</f>
        <v>172332.16</v>
      </c>
      <c r="S148" s="3" t="str">
        <f>IF(Table13[[#This Row],[Indicative carbon footprint /puff (g CO2e) 
Midpoint value7,8]]&gt;=35,"High","Low")</f>
        <v>High</v>
      </c>
      <c r="T148" s="3" t="s">
        <v>734</v>
      </c>
      <c r="U148" s="1">
        <f>Table13[[#This Row],[Number of puffs per 28 days1-4]]*Table13[[#This Row],[Cost/puff 1,5-7]]</f>
        <v>41.533333333333331</v>
      </c>
      <c r="V148" s="1">
        <f>Table13[[#This Row],[Indicative cost per 28 days1,5]]*13</f>
        <v>539.93333333333328</v>
      </c>
      <c r="W148" s="28"/>
      <c r="X148" s="1" t="s">
        <v>14</v>
      </c>
      <c r="Y148" s="2" t="s">
        <v>210</v>
      </c>
      <c r="Z148" s="4" t="s">
        <v>284</v>
      </c>
      <c r="AA148" s="2" t="s">
        <v>45</v>
      </c>
      <c r="AC148" s="2" t="s">
        <v>29</v>
      </c>
      <c r="AD148" s="2" t="s">
        <v>85</v>
      </c>
      <c r="AE148" s="11">
        <f>1.64*Table13[[#This Row],[Doses per inhaler1,2]]</f>
        <v>196.79999999999998</v>
      </c>
      <c r="AF148" s="11">
        <f>0.95*Table13[[#This Row],[Doses per inhaler1,2]]</f>
        <v>114</v>
      </c>
      <c r="AG148" s="2">
        <f>1.18*Table13[[#This Row],[Doses per inhaler1,2]]</f>
        <v>141.6</v>
      </c>
      <c r="AH148" s="11">
        <f>0.13*Table13[[#This Row],[Doses per inhaler1,2]]</f>
        <v>15.600000000000001</v>
      </c>
      <c r="AI148" s="2">
        <f>1.36*Table13[[#This Row],[Doses per inhaler1,2]]</f>
        <v>163.20000000000002</v>
      </c>
      <c r="AJ148" s="11">
        <f>0.01*Table13[[#This Row],[Doses per inhaler1,2]]</f>
        <v>1.2</v>
      </c>
      <c r="AK148" s="11">
        <f>1.63*Table13[[#This Row],[Doses per inhaler1,2]]</f>
        <v>195.6</v>
      </c>
      <c r="AL148" s="11">
        <f>0.36*Table13[[#This Row],[Doses per inhaler1,2]]</f>
        <v>43.199999999999996</v>
      </c>
      <c r="AM148" s="11">
        <f>84.33*Table13[[#This Row],[Doses per inhaler1,2]]</f>
        <v>10119.6</v>
      </c>
      <c r="AN148" s="11">
        <f>26.76*Table13[[#This Row],[Doses per inhaler1,2]]</f>
        <v>3211.2000000000003</v>
      </c>
      <c r="AO148" s="2" t="s">
        <v>63</v>
      </c>
      <c r="AP148" s="2" t="s">
        <v>16</v>
      </c>
      <c r="AQ148" s="48" t="s">
        <v>923</v>
      </c>
      <c r="AR148" s="2" t="s">
        <v>623</v>
      </c>
      <c r="AS148" s="2" t="s">
        <v>311</v>
      </c>
    </row>
    <row r="149" spans="1:45" ht="75" x14ac:dyDescent="0.2">
      <c r="A149" s="2" t="s">
        <v>607</v>
      </c>
      <c r="B149" s="2" t="s">
        <v>60</v>
      </c>
      <c r="C149" s="2" t="s">
        <v>608</v>
      </c>
      <c r="D149" s="2" t="s">
        <v>43</v>
      </c>
      <c r="E149" s="2" t="s">
        <v>117</v>
      </c>
      <c r="F149" s="2" t="s">
        <v>6</v>
      </c>
      <c r="G149" s="2">
        <v>120</v>
      </c>
      <c r="H149" s="1">
        <v>44.5</v>
      </c>
      <c r="I149" s="1">
        <f t="shared" si="4"/>
        <v>0.37083333333333335</v>
      </c>
      <c r="J149" s="2" t="s">
        <v>12</v>
      </c>
      <c r="K149" s="2" t="s">
        <v>12</v>
      </c>
      <c r="L149" s="2" t="s">
        <v>5</v>
      </c>
      <c r="M149" s="2">
        <v>7.41</v>
      </c>
      <c r="N149" s="2">
        <f>Table13[[#This Row],[Doses per inhaler1,2]]*Table13[[#This Row],[Indicative carbon footprint /puff (g CO2e) 
Midpoint value7,8]]</f>
        <v>889.2</v>
      </c>
      <c r="O149" s="10" t="s">
        <v>671</v>
      </c>
      <c r="P149" s="3">
        <v>112</v>
      </c>
      <c r="Q149" s="3">
        <f>Table13[[#This Row],[Indicative carbon footprint /puff (g CO2e) 
Midpoint value7,8]]*Table13[[#This Row],[Number of puffs per 28 days1-4]]</f>
        <v>829.92000000000007</v>
      </c>
      <c r="R149" s="3">
        <f>13*Table13[[#This Row],[Indicative carbon footprint per 28 days (g CO2e)]]</f>
        <v>10788.960000000001</v>
      </c>
      <c r="S149" s="3" t="str">
        <f>IF(Table13[[#This Row],[Indicative carbon footprint /puff (g CO2e) 
Midpoint value7,8]]&gt;=35,"High","Low")</f>
        <v>Low</v>
      </c>
      <c r="T149" s="3" t="s">
        <v>734</v>
      </c>
      <c r="U149" s="1">
        <f>Table13[[#This Row],[Number of puffs per 28 days1-4]]*Table13[[#This Row],[Cost/puff 1,5-7]]</f>
        <v>41.533333333333331</v>
      </c>
      <c r="V149" s="1">
        <f>Table13[[#This Row],[Indicative cost per 28 days1,5]]*13</f>
        <v>539.93333333333328</v>
      </c>
      <c r="W149" s="1"/>
      <c r="X149" s="1" t="s">
        <v>14</v>
      </c>
      <c r="Y149" s="2" t="s">
        <v>5</v>
      </c>
      <c r="Z149" s="4" t="s">
        <v>690</v>
      </c>
      <c r="AA149" s="2" t="s">
        <v>45</v>
      </c>
      <c r="AB149" s="2" t="s">
        <v>17</v>
      </c>
      <c r="AC149" s="2" t="s">
        <v>5</v>
      </c>
      <c r="AD149" s="2" t="s">
        <v>85</v>
      </c>
      <c r="AE149" s="47">
        <v>2.4</v>
      </c>
      <c r="AF149" s="47">
        <v>193.2</v>
      </c>
      <c r="AG149" s="47">
        <v>337.2</v>
      </c>
      <c r="AH149" s="47">
        <v>16.8</v>
      </c>
      <c r="AI149" s="47">
        <v>213.6</v>
      </c>
      <c r="AJ149" s="47">
        <v>1.2</v>
      </c>
      <c r="AK149" s="47">
        <v>0</v>
      </c>
      <c r="AL149" s="47">
        <v>39.6</v>
      </c>
      <c r="AM149" s="47">
        <v>0</v>
      </c>
      <c r="AN149" s="47">
        <v>85.2</v>
      </c>
      <c r="AO149" s="2" t="s">
        <v>63</v>
      </c>
      <c r="AP149" s="2" t="s">
        <v>5</v>
      </c>
      <c r="AQ149" s="49" t="s">
        <v>5</v>
      </c>
      <c r="AR149" s="2" t="s">
        <v>623</v>
      </c>
      <c r="AS149" s="10" t="s">
        <v>313</v>
      </c>
    </row>
    <row r="150" spans="1:45" ht="60" x14ac:dyDescent="0.25">
      <c r="A150" s="2" t="s">
        <v>477</v>
      </c>
      <c r="B150" s="2" t="s">
        <v>35</v>
      </c>
      <c r="C150" s="2" t="s">
        <v>489</v>
      </c>
      <c r="D150" s="2" t="s">
        <v>43</v>
      </c>
      <c r="E150" s="2" t="s">
        <v>117</v>
      </c>
      <c r="F150" s="2" t="s">
        <v>19</v>
      </c>
      <c r="G150" s="2">
        <v>120</v>
      </c>
      <c r="H150" s="1">
        <v>44.5</v>
      </c>
      <c r="I150" s="1">
        <f t="shared" si="4"/>
        <v>0.37083333333333335</v>
      </c>
      <c r="J150" s="2" t="s">
        <v>12</v>
      </c>
      <c r="K150" s="2" t="s">
        <v>12</v>
      </c>
      <c r="L150" s="2" t="s">
        <v>5</v>
      </c>
      <c r="M150" s="2">
        <v>112.5</v>
      </c>
      <c r="N150" s="2">
        <f>Table13[[#This Row],[Doses per inhaler1,2]]*Table13[[#This Row],[Indicative carbon footprint /puff (g CO2e) 
Midpoint value7,8]]</f>
        <v>13500</v>
      </c>
      <c r="O150" s="10" t="s">
        <v>671</v>
      </c>
      <c r="P150" s="3">
        <v>112</v>
      </c>
      <c r="Q150" s="3">
        <f>Table13[[#This Row],[Indicative carbon footprint /puff (g CO2e) 
Midpoint value7,8]]*Table13[[#This Row],[Number of puffs per 28 days1-4]]</f>
        <v>12600</v>
      </c>
      <c r="R150" s="3">
        <f>13*Table13[[#This Row],[Indicative carbon footprint per 28 days (g CO2e)]]</f>
        <v>163800</v>
      </c>
      <c r="S150" s="3" t="str">
        <f>IF(Table13[[#This Row],[Indicative carbon footprint /puff (g CO2e) 
Midpoint value7,8]]&gt;=35,"High","Low")</f>
        <v>High</v>
      </c>
      <c r="T150" s="3"/>
      <c r="U150" s="1">
        <f>Table13[[#This Row],[Number of puffs per 28 days1-4]]*Table13[[#This Row],[Cost/puff 1,5-7]]</f>
        <v>41.533333333333331</v>
      </c>
      <c r="V150" s="1">
        <f>Table13[[#This Row],[Indicative cost per 28 days1,5]]*13</f>
        <v>539.93333333333328</v>
      </c>
      <c r="X150" s="1" t="s">
        <v>14</v>
      </c>
      <c r="Y150" s="2" t="s">
        <v>210</v>
      </c>
      <c r="Z150" s="4" t="s">
        <v>285</v>
      </c>
      <c r="AD150" s="2" t="s">
        <v>295</v>
      </c>
      <c r="AE150" s="2" t="s">
        <v>63</v>
      </c>
      <c r="AF150" s="2" t="s">
        <v>63</v>
      </c>
      <c r="AG150" s="2" t="s">
        <v>63</v>
      </c>
      <c r="AH150" s="2" t="s">
        <v>63</v>
      </c>
      <c r="AI150" s="2" t="s">
        <v>63</v>
      </c>
      <c r="AJ150" s="2" t="s">
        <v>63</v>
      </c>
      <c r="AK150" s="2" t="s">
        <v>63</v>
      </c>
      <c r="AL150" s="2" t="s">
        <v>63</v>
      </c>
      <c r="AM150" s="2" t="s">
        <v>63</v>
      </c>
      <c r="AN150" s="2" t="s">
        <v>63</v>
      </c>
      <c r="AO150" s="2" t="s">
        <v>63</v>
      </c>
      <c r="AP150" s="2" t="s">
        <v>63</v>
      </c>
      <c r="AQ150" s="2" t="s">
        <v>63</v>
      </c>
      <c r="AR150" s="2" t="s">
        <v>63</v>
      </c>
      <c r="AS150" s="10" t="s">
        <v>313</v>
      </c>
    </row>
    <row r="151" spans="1:45" ht="45" x14ac:dyDescent="0.25">
      <c r="A151" s="2" t="s">
        <v>500</v>
      </c>
      <c r="B151" s="2" t="s">
        <v>155</v>
      </c>
      <c r="C151" s="2" t="s">
        <v>488</v>
      </c>
      <c r="D151" s="2" t="s">
        <v>43</v>
      </c>
      <c r="E151" s="2" t="s">
        <v>44</v>
      </c>
      <c r="F151" s="2" t="s">
        <v>6</v>
      </c>
      <c r="G151" s="2">
        <v>30</v>
      </c>
      <c r="H151" s="1">
        <v>32.5</v>
      </c>
      <c r="I151" s="1">
        <f t="shared" si="4"/>
        <v>1.0833333333333333</v>
      </c>
      <c r="J151" s="2" t="s">
        <v>12</v>
      </c>
      <c r="K151" s="2" t="s">
        <v>12</v>
      </c>
      <c r="L151" s="2" t="s">
        <v>5</v>
      </c>
      <c r="M151" s="2">
        <v>18.75</v>
      </c>
      <c r="N151" s="2">
        <f>Table13[[#This Row],[Doses per inhaler1,2]]*Table13[[#This Row],[Indicative carbon footprint /puff (g CO2e) 
Midpoint value7,8]]</f>
        <v>562.5</v>
      </c>
      <c r="O151" s="10" t="s">
        <v>676</v>
      </c>
      <c r="P151" s="3">
        <v>28</v>
      </c>
      <c r="Q151" s="3">
        <f>Table13[[#This Row],[Indicative carbon footprint /puff (g CO2e) 
Midpoint value7,8]]*Table13[[#This Row],[Number of puffs per 28 days1-4]]</f>
        <v>525</v>
      </c>
      <c r="R151" s="3">
        <f>13*Table13[[#This Row],[Indicative carbon footprint per 28 days (g CO2e)]]</f>
        <v>6825</v>
      </c>
      <c r="S151" s="3" t="str">
        <f>IF(Table13[[#This Row],[Indicative carbon footprint /puff (g CO2e) 
Midpoint value7,8]]&gt;=35,"High","Low")</f>
        <v>Low</v>
      </c>
      <c r="T151" s="3"/>
      <c r="U151" s="1">
        <f>Table13[[#This Row],[Number of puffs per 28 days1-4]]*Table13[[#This Row],[Cost/puff 1,5-7]]</f>
        <v>30.333333333333332</v>
      </c>
      <c r="V151" s="1">
        <f>Table13[[#This Row],[Indicative cost per 28 days1,5]]*13</f>
        <v>394.33333333333331</v>
      </c>
      <c r="X151" s="1" t="s">
        <v>7</v>
      </c>
      <c r="Y151" s="2" t="s">
        <v>5</v>
      </c>
      <c r="Z151" s="4" t="s">
        <v>286</v>
      </c>
      <c r="AB151" s="2" t="s">
        <v>17</v>
      </c>
      <c r="AC151" s="9" t="s">
        <v>5</v>
      </c>
      <c r="AD151" s="2" t="s">
        <v>63</v>
      </c>
      <c r="AE151" s="2" t="s">
        <v>63</v>
      </c>
      <c r="AF151" s="2" t="s">
        <v>63</v>
      </c>
      <c r="AG151" s="2" t="s">
        <v>63</v>
      </c>
      <c r="AH151" s="2" t="s">
        <v>63</v>
      </c>
      <c r="AI151" s="2" t="s">
        <v>63</v>
      </c>
      <c r="AJ151" s="2" t="s">
        <v>63</v>
      </c>
      <c r="AK151" s="2" t="s">
        <v>63</v>
      </c>
      <c r="AL151" s="2" t="s">
        <v>63</v>
      </c>
      <c r="AM151" s="2" t="s">
        <v>63</v>
      </c>
      <c r="AN151" s="2" t="s">
        <v>63</v>
      </c>
      <c r="AO151" s="2" t="s">
        <v>63</v>
      </c>
      <c r="AP151" s="2" t="s">
        <v>63</v>
      </c>
      <c r="AQ151" s="2" t="s">
        <v>63</v>
      </c>
      <c r="AR151" s="2" t="s">
        <v>63</v>
      </c>
      <c r="AS151" s="2" t="s">
        <v>310</v>
      </c>
    </row>
    <row r="152" spans="1:45" ht="105" x14ac:dyDescent="0.25">
      <c r="A152" s="2" t="s">
        <v>478</v>
      </c>
      <c r="B152" s="2" t="s">
        <v>41</v>
      </c>
      <c r="C152" s="2" t="s">
        <v>479</v>
      </c>
      <c r="D152" s="2" t="s">
        <v>24</v>
      </c>
      <c r="E152" s="2" t="s">
        <v>25</v>
      </c>
      <c r="F152" s="2" t="s">
        <v>6</v>
      </c>
      <c r="G152" s="2">
        <v>60</v>
      </c>
      <c r="H152" s="1">
        <v>1.99</v>
      </c>
      <c r="I152" s="1">
        <f t="shared" si="4"/>
        <v>3.3166666666666664E-2</v>
      </c>
      <c r="J152" s="2" t="s">
        <v>26</v>
      </c>
      <c r="K152" s="2" t="s">
        <v>96</v>
      </c>
      <c r="L152" s="2" t="s">
        <v>5</v>
      </c>
      <c r="M152" s="2">
        <v>10</v>
      </c>
      <c r="N152" s="2">
        <v>583</v>
      </c>
      <c r="O152" s="10" t="s">
        <v>671</v>
      </c>
      <c r="P152" s="3">
        <v>28</v>
      </c>
      <c r="Q152" s="3">
        <f>Table13[[#This Row],[Indicative carbon footprint /puff (g CO2e) 
Midpoint value7,8]]*Table13[[#This Row],[Number of puffs per 28 days1-4]]</f>
        <v>280</v>
      </c>
      <c r="R152" s="3">
        <f>13*Table13[[#This Row],[Indicative carbon footprint per 28 days (g CO2e)]]</f>
        <v>3640</v>
      </c>
      <c r="S152" s="3" t="str">
        <f>IF(Table13[[#This Row],[Indicative carbon footprint /puff (g CO2e) 
Midpoint value7,8]]&gt;=35,"High","Low")</f>
        <v>Low</v>
      </c>
      <c r="T152" s="3"/>
      <c r="U152" s="1">
        <f>Table13[[#This Row],[Number of puffs per 28 days1-4]]*Table13[[#This Row],[Cost/puff 1,5-7]]</f>
        <v>0.92866666666666653</v>
      </c>
      <c r="V152" s="1">
        <f>Table13[[#This Row],[Indicative cost per 28 days1,5]]*13</f>
        <v>12.072666666666665</v>
      </c>
      <c r="X152" s="1" t="s">
        <v>14</v>
      </c>
      <c r="Y152" s="2" t="s">
        <v>5</v>
      </c>
      <c r="Z152" s="4" t="s">
        <v>287</v>
      </c>
      <c r="AA152" s="2" t="s">
        <v>45</v>
      </c>
      <c r="AB152" s="2" t="s">
        <v>5</v>
      </c>
      <c r="AC152" s="9" t="s">
        <v>5</v>
      </c>
      <c r="AD152" s="2" t="s">
        <v>234</v>
      </c>
      <c r="AE152" s="2">
        <v>22</v>
      </c>
      <c r="AF152" s="2">
        <v>260</v>
      </c>
      <c r="AG152" s="2" t="s">
        <v>515</v>
      </c>
      <c r="AH152" s="2" t="s">
        <v>322</v>
      </c>
      <c r="AI152" s="2">
        <v>159</v>
      </c>
      <c r="AJ152" s="2" t="s">
        <v>516</v>
      </c>
      <c r="AK152" s="2" t="s">
        <v>516</v>
      </c>
      <c r="AL152" s="2">
        <v>23</v>
      </c>
      <c r="AM152" s="2">
        <v>124</v>
      </c>
      <c r="AN152" s="2">
        <v>13</v>
      </c>
      <c r="AO152" s="2" t="s">
        <v>63</v>
      </c>
      <c r="AP152" s="2" t="s">
        <v>5</v>
      </c>
      <c r="AQ152" s="2" t="s">
        <v>5</v>
      </c>
      <c r="AR152" s="2" t="s">
        <v>47</v>
      </c>
      <c r="AS152" s="2" t="s">
        <v>310</v>
      </c>
    </row>
    <row r="153" spans="1:45" ht="105" x14ac:dyDescent="0.25">
      <c r="A153" s="2" t="s">
        <v>480</v>
      </c>
      <c r="B153" s="2" t="s">
        <v>41</v>
      </c>
      <c r="C153" s="2" t="s">
        <v>343</v>
      </c>
      <c r="D153" s="2" t="s">
        <v>24</v>
      </c>
      <c r="E153" s="2" t="s">
        <v>25</v>
      </c>
      <c r="F153" s="2" t="s">
        <v>19</v>
      </c>
      <c r="G153" s="2">
        <v>200</v>
      </c>
      <c r="H153" s="1">
        <v>1.5</v>
      </c>
      <c r="I153" s="1">
        <f t="shared" si="4"/>
        <v>7.4999999999999997E-3</v>
      </c>
      <c r="J153" s="2" t="s">
        <v>26</v>
      </c>
      <c r="K153" s="2" t="s">
        <v>27</v>
      </c>
      <c r="L153" s="2" t="s">
        <v>5</v>
      </c>
      <c r="M153" s="2">
        <v>141</v>
      </c>
      <c r="N153" s="2">
        <v>28262</v>
      </c>
      <c r="O153" s="39" t="s">
        <v>671</v>
      </c>
      <c r="P153" s="3">
        <v>30</v>
      </c>
      <c r="Q153" s="29">
        <f>Table13[[#This Row],[Indicative carbon footprint /puff (g CO2e) 
Midpoint value7,8]]*Table13[[#This Row],[Number of puffs per 28 days1-4]]</f>
        <v>4230</v>
      </c>
      <c r="R153" s="29">
        <f>13*Table13[[#This Row],[Indicative carbon footprint per 28 days (g CO2e)]]</f>
        <v>54990</v>
      </c>
      <c r="S153" s="3" t="str">
        <f>IF(Table13[[#This Row],[Indicative carbon footprint /puff (g CO2e) 
Midpoint value7,8]]&gt;=35,"High","Low")</f>
        <v>High</v>
      </c>
      <c r="T153" s="3"/>
      <c r="U153" s="1">
        <f>Table13[[#This Row],[Number of puffs per 28 days1-4]]*Table13[[#This Row],[Cost/puff 1,5-7]]</f>
        <v>0.22499999999999998</v>
      </c>
      <c r="V153" s="1">
        <f>Table13[[#This Row],[Indicative cost per 28 days1,5]]*13</f>
        <v>2.9249999999999998</v>
      </c>
      <c r="W153" s="32"/>
      <c r="X153" s="1" t="s">
        <v>14</v>
      </c>
      <c r="Y153" s="2" t="s">
        <v>210</v>
      </c>
      <c r="Z153" s="4" t="s">
        <v>288</v>
      </c>
      <c r="AA153" s="2" t="s">
        <v>45</v>
      </c>
      <c r="AD153" s="2" t="s">
        <v>46</v>
      </c>
      <c r="AE153" s="2">
        <v>100</v>
      </c>
      <c r="AF153" s="2">
        <v>70</v>
      </c>
      <c r="AG153" s="2" t="s">
        <v>515</v>
      </c>
      <c r="AH153" s="2" t="s">
        <v>322</v>
      </c>
      <c r="AI153" s="2">
        <v>1036</v>
      </c>
      <c r="AJ153" s="2" t="s">
        <v>516</v>
      </c>
      <c r="AK153" s="2" t="s">
        <v>516</v>
      </c>
      <c r="AL153" s="2">
        <v>22</v>
      </c>
      <c r="AM153" s="2">
        <v>19389</v>
      </c>
      <c r="AN153" s="2">
        <v>7383</v>
      </c>
      <c r="AO153" s="2" t="s">
        <v>63</v>
      </c>
      <c r="AP153" s="2" t="s">
        <v>517</v>
      </c>
      <c r="AQ153" s="2" t="s">
        <v>63</v>
      </c>
      <c r="AR153" s="2" t="s">
        <v>47</v>
      </c>
      <c r="AS153" s="2" t="s">
        <v>315</v>
      </c>
    </row>
    <row r="154" spans="1:45" ht="45" x14ac:dyDescent="0.25">
      <c r="A154" s="2" t="s">
        <v>635</v>
      </c>
      <c r="B154" s="2" t="s">
        <v>639</v>
      </c>
      <c r="C154" s="2" t="s">
        <v>637</v>
      </c>
      <c r="D154" s="2" t="s">
        <v>10</v>
      </c>
      <c r="E154" s="2" t="s">
        <v>11</v>
      </c>
      <c r="F154" s="2" t="s">
        <v>6</v>
      </c>
      <c r="G154" s="2">
        <v>120</v>
      </c>
      <c r="H154" s="1">
        <v>19</v>
      </c>
      <c r="I154" s="1">
        <f t="shared" si="4"/>
        <v>0.15833333333333333</v>
      </c>
      <c r="J154" s="2" t="s">
        <v>37</v>
      </c>
      <c r="K154" s="2" t="s">
        <v>274</v>
      </c>
      <c r="L154" s="2" t="s">
        <v>99</v>
      </c>
      <c r="M154" s="2">
        <v>10</v>
      </c>
      <c r="N154" s="2">
        <v>587</v>
      </c>
      <c r="O154" s="39" t="s">
        <v>671</v>
      </c>
      <c r="P154" s="3">
        <v>112</v>
      </c>
      <c r="Q154" s="29">
        <f>Table13[[#This Row],[Indicative carbon footprint /puff (g CO2e) 
Midpoint value7,8]]*Table13[[#This Row],[Number of puffs per 28 days1-4]]</f>
        <v>1120</v>
      </c>
      <c r="R154" s="29">
        <f>13*Table13[[#This Row],[Indicative carbon footprint per 28 days (g CO2e)]]</f>
        <v>14560</v>
      </c>
      <c r="S154" s="3" t="str">
        <f>IF(Table13[[#This Row],[Indicative carbon footprint /puff (g CO2e) 
Midpoint value7,8]]&gt;=35,"High","Low")</f>
        <v>Low</v>
      </c>
      <c r="T154" s="3"/>
      <c r="U154" s="1">
        <f>Table13[[#This Row],[Number of puffs per 28 days1-4]]*Table13[[#This Row],[Cost/puff 1,5-7]]</f>
        <v>17.733333333333334</v>
      </c>
      <c r="V154" s="1">
        <f>Table13[[#This Row],[Indicative cost per 28 days1,5]]*13</f>
        <v>230.53333333333336</v>
      </c>
      <c r="W154" s="32" t="s">
        <v>643</v>
      </c>
      <c r="X154" s="1" t="s">
        <v>644</v>
      </c>
      <c r="Y154" s="2" t="s">
        <v>5</v>
      </c>
      <c r="Z154" s="4" t="s">
        <v>640</v>
      </c>
      <c r="AB154" s="2" t="s">
        <v>17</v>
      </c>
      <c r="AC154" s="9" t="s">
        <v>5</v>
      </c>
      <c r="AD154" s="2" t="s">
        <v>643</v>
      </c>
      <c r="AE154" s="2" t="s">
        <v>63</v>
      </c>
      <c r="AF154" s="2" t="s">
        <v>63</v>
      </c>
      <c r="AG154" s="2" t="s">
        <v>63</v>
      </c>
      <c r="AH154" s="2" t="s">
        <v>63</v>
      </c>
      <c r="AI154" s="2" t="s">
        <v>63</v>
      </c>
      <c r="AJ154" s="2" t="s">
        <v>63</v>
      </c>
      <c r="AK154" s="2" t="s">
        <v>63</v>
      </c>
      <c r="AL154" s="2" t="s">
        <v>63</v>
      </c>
      <c r="AM154" s="2" t="s">
        <v>63</v>
      </c>
      <c r="AN154" s="2" t="s">
        <v>63</v>
      </c>
      <c r="AO154" s="2" t="s">
        <v>63</v>
      </c>
      <c r="AP154" s="2" t="s">
        <v>63</v>
      </c>
      <c r="AQ154" s="2" t="s">
        <v>63</v>
      </c>
      <c r="AR154" s="2" t="s">
        <v>63</v>
      </c>
      <c r="AS154" s="10" t="s">
        <v>313</v>
      </c>
    </row>
    <row r="155" spans="1:45" ht="45" x14ac:dyDescent="0.25">
      <c r="A155" s="2" t="s">
        <v>636</v>
      </c>
      <c r="B155" s="2" t="s">
        <v>639</v>
      </c>
      <c r="C155" s="2" t="s">
        <v>638</v>
      </c>
      <c r="D155" s="2" t="s">
        <v>10</v>
      </c>
      <c r="E155" s="2" t="s">
        <v>11</v>
      </c>
      <c r="F155" s="2" t="s">
        <v>6</v>
      </c>
      <c r="G155" s="2">
        <v>60</v>
      </c>
      <c r="H155" s="1">
        <v>19</v>
      </c>
      <c r="I155" s="1">
        <f t="shared" si="4"/>
        <v>0.31666666666666665</v>
      </c>
      <c r="J155" s="2" t="s">
        <v>37</v>
      </c>
      <c r="K155" s="2" t="s">
        <v>276</v>
      </c>
      <c r="L155" s="2" t="s">
        <v>13</v>
      </c>
      <c r="M155" s="2">
        <v>10</v>
      </c>
      <c r="N155" s="2">
        <v>587</v>
      </c>
      <c r="O155" s="22" t="s">
        <v>671</v>
      </c>
      <c r="P155" s="3">
        <v>56</v>
      </c>
      <c r="Q155" s="3">
        <f>Table13[[#This Row],[Indicative carbon footprint /puff (g CO2e) 
Midpoint value7,8]]*Table13[[#This Row],[Number of puffs per 28 days1-4]]</f>
        <v>560</v>
      </c>
      <c r="R155" s="3">
        <f>13*Table13[[#This Row],[Indicative carbon footprint per 28 days (g CO2e)]]</f>
        <v>7280</v>
      </c>
      <c r="S155" s="3" t="str">
        <f>IF(Table13[[#This Row],[Indicative carbon footprint /puff (g CO2e) 
Midpoint value7,8]]&gt;=35,"High","Low")</f>
        <v>Low</v>
      </c>
      <c r="T155" s="3"/>
      <c r="U155" s="1">
        <f>Table13[[#This Row],[Number of puffs per 28 days1-4]]*Table13[[#This Row],[Cost/puff 1,5-7]]</f>
        <v>17.733333333333334</v>
      </c>
      <c r="V155" s="1">
        <f>Table13[[#This Row],[Indicative cost per 28 days1,5]]*13</f>
        <v>230.53333333333336</v>
      </c>
      <c r="W155" s="1" t="s">
        <v>643</v>
      </c>
      <c r="X155" s="13" t="s">
        <v>644</v>
      </c>
      <c r="Y155" s="2" t="s">
        <v>5</v>
      </c>
      <c r="Z155" s="4" t="s">
        <v>641</v>
      </c>
      <c r="AB155" s="2" t="s">
        <v>17</v>
      </c>
      <c r="AC155" s="9" t="s">
        <v>5</v>
      </c>
      <c r="AD155" s="2" t="s">
        <v>643</v>
      </c>
      <c r="AE155" s="2" t="s">
        <v>63</v>
      </c>
      <c r="AF155" s="2" t="s">
        <v>63</v>
      </c>
      <c r="AG155" s="2" t="s">
        <v>63</v>
      </c>
      <c r="AH155" s="2" t="s">
        <v>63</v>
      </c>
      <c r="AI155" s="2" t="s">
        <v>63</v>
      </c>
      <c r="AJ155" s="2" t="s">
        <v>63</v>
      </c>
      <c r="AK155" s="2" t="s">
        <v>63</v>
      </c>
      <c r="AL155" s="2" t="s">
        <v>63</v>
      </c>
      <c r="AM155" s="2" t="s">
        <v>63</v>
      </c>
      <c r="AN155" s="2" t="s">
        <v>63</v>
      </c>
      <c r="AO155" s="2" t="s">
        <v>63</v>
      </c>
      <c r="AP155" s="2" t="s">
        <v>63</v>
      </c>
      <c r="AQ155" s="2" t="s">
        <v>63</v>
      </c>
      <c r="AR155" s="2" t="s">
        <v>63</v>
      </c>
      <c r="AS155" s="10" t="s">
        <v>313</v>
      </c>
    </row>
    <row r="156" spans="1:45" ht="60" x14ac:dyDescent="0.25">
      <c r="A156" s="2" t="s">
        <v>627</v>
      </c>
      <c r="B156" s="2" t="s">
        <v>64</v>
      </c>
      <c r="C156" s="2" t="s">
        <v>466</v>
      </c>
      <c r="D156" s="2" t="s">
        <v>43</v>
      </c>
      <c r="E156" s="2" t="s">
        <v>44</v>
      </c>
      <c r="F156" s="2" t="s">
        <v>259</v>
      </c>
      <c r="G156" s="2">
        <v>60</v>
      </c>
      <c r="H156" s="1">
        <v>32.5</v>
      </c>
      <c r="I156" s="1">
        <f t="shared" si="4"/>
        <v>0.54166666666666663</v>
      </c>
      <c r="J156" s="2" t="s">
        <v>12</v>
      </c>
      <c r="K156" s="2" t="s">
        <v>12</v>
      </c>
      <c r="L156" s="2" t="s">
        <v>5</v>
      </c>
      <c r="M156" s="27">
        <f>Table13[[#This Row],[Indicative carbon footprint /inhaler (g CO2e) 
Midpoint value7,8]]/Table13[[#This Row],[Doses per inhaler1,2]]</f>
        <v>12.916666666666666</v>
      </c>
      <c r="N156" s="2">
        <v>775</v>
      </c>
      <c r="O156" s="10" t="s">
        <v>671</v>
      </c>
      <c r="P156" s="3">
        <v>56</v>
      </c>
      <c r="Q156" s="29">
        <f>Table13[[#This Row],[Indicative carbon footprint /puff (g CO2e) 
Midpoint value7,8]]*Table13[[#This Row],[Number of puffs per 28 days1-4]]</f>
        <v>723.33333333333326</v>
      </c>
      <c r="R156" s="29">
        <f>13*Table13[[#This Row],[Indicative carbon footprint per 28 days (g CO2e)]]</f>
        <v>9403.3333333333321</v>
      </c>
      <c r="S156" s="3" t="str">
        <f>IF(Table13[[#This Row],[Indicative carbon footprint /puff (g CO2e) 
Midpoint value7,8]]&gt;=35,"High","Low")</f>
        <v>Low</v>
      </c>
      <c r="T156" s="3"/>
      <c r="U156" s="30">
        <f>Table13[[#This Row],[Number of puffs per 28 days1-4]]*Table13[[#This Row],[Cost/puff 1,5-7]]</f>
        <v>30.333333333333332</v>
      </c>
      <c r="V156" s="1">
        <f>Table13[[#This Row],[Indicative cost per 28 days1,5]]*13</f>
        <v>394.33333333333331</v>
      </c>
      <c r="W156" s="32"/>
      <c r="X156" s="1" t="s">
        <v>622</v>
      </c>
      <c r="Y156" s="2" t="s">
        <v>5</v>
      </c>
      <c r="Z156" s="4" t="s">
        <v>289</v>
      </c>
      <c r="AB156" s="9" t="s">
        <v>17</v>
      </c>
      <c r="AC156" s="9" t="s">
        <v>5</v>
      </c>
      <c r="AD156" s="2" t="s">
        <v>63</v>
      </c>
      <c r="AE156" s="2" t="s">
        <v>63</v>
      </c>
      <c r="AF156" s="2" t="s">
        <v>63</v>
      </c>
      <c r="AG156" s="2" t="s">
        <v>63</v>
      </c>
      <c r="AH156" s="2" t="s">
        <v>63</v>
      </c>
      <c r="AI156" s="2" t="s">
        <v>63</v>
      </c>
      <c r="AJ156" s="2" t="s">
        <v>63</v>
      </c>
      <c r="AK156" s="2" t="s">
        <v>63</v>
      </c>
      <c r="AL156" s="2" t="s">
        <v>63</v>
      </c>
      <c r="AM156" s="2" t="s">
        <v>63</v>
      </c>
      <c r="AN156" s="2" t="s">
        <v>63</v>
      </c>
      <c r="AO156" s="2" t="s">
        <v>63</v>
      </c>
      <c r="AP156" s="2" t="s">
        <v>63</v>
      </c>
      <c r="AQ156" s="2" t="s">
        <v>63</v>
      </c>
      <c r="AR156" s="2" t="s">
        <v>63</v>
      </c>
      <c r="AS156" s="10" t="s">
        <v>313</v>
      </c>
    </row>
    <row r="157" spans="1:45" ht="15.75" x14ac:dyDescent="0.25">
      <c r="A157" s="14"/>
      <c r="B157" s="11"/>
    </row>
    <row r="158" spans="1:45" x14ac:dyDescent="0.25">
      <c r="A158" s="15"/>
      <c r="B158" s="11"/>
    </row>
    <row r="159" spans="1:45" x14ac:dyDescent="0.25">
      <c r="A159" s="15"/>
      <c r="B159" s="11"/>
    </row>
    <row r="160" spans="1:45" x14ac:dyDescent="0.25">
      <c r="A160" s="15"/>
      <c r="B160" s="11"/>
    </row>
    <row r="161" spans="1:2" x14ac:dyDescent="0.25">
      <c r="A161" s="15"/>
      <c r="B161" s="11"/>
    </row>
    <row r="162" spans="1:2" x14ac:dyDescent="0.25">
      <c r="A162" s="15"/>
      <c r="B162" s="11"/>
    </row>
    <row r="163" spans="1:2" x14ac:dyDescent="0.25">
      <c r="A163" s="15"/>
    </row>
    <row r="164" spans="1:2" x14ac:dyDescent="0.25">
      <c r="A164" s="15"/>
    </row>
    <row r="165" spans="1:2" x14ac:dyDescent="0.25">
      <c r="A165" s="15"/>
    </row>
    <row r="166" spans="1:2" x14ac:dyDescent="0.25">
      <c r="A166" s="15"/>
    </row>
    <row r="167" spans="1:2" x14ac:dyDescent="0.25">
      <c r="A167" s="15"/>
    </row>
    <row r="168" spans="1:2" x14ac:dyDescent="0.25">
      <c r="A168" s="15"/>
    </row>
    <row r="169" spans="1:2" x14ac:dyDescent="0.25">
      <c r="A169" s="15"/>
    </row>
    <row r="170" spans="1:2" x14ac:dyDescent="0.25">
      <c r="A170" s="15"/>
    </row>
    <row r="171" spans="1:2" x14ac:dyDescent="0.25">
      <c r="A171" s="15"/>
    </row>
    <row r="172" spans="1:2" x14ac:dyDescent="0.25">
      <c r="A172" s="15"/>
    </row>
    <row r="173" spans="1:2" x14ac:dyDescent="0.25">
      <c r="A173" s="15"/>
    </row>
  </sheetData>
  <phoneticPr fontId="3" type="noConversion"/>
  <pageMargins left="0.74803149606299213" right="0.74803149606299213" top="0.98425196850393704" bottom="0.98425196850393704" header="0.51181102362204722" footer="0.51181102362204722"/>
  <pageSetup paperSize="9" scale="65" fitToWidth="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4F10-AFC6-4776-AF93-977D33417D68}">
  <dimension ref="A1:G76"/>
  <sheetViews>
    <sheetView workbookViewId="0">
      <selection activeCell="B2" sqref="B2"/>
    </sheetView>
  </sheetViews>
  <sheetFormatPr defaultRowHeight="15.75" x14ac:dyDescent="0.25"/>
  <cols>
    <col min="1" max="1" width="90.5" bestFit="1" customWidth="1"/>
  </cols>
  <sheetData>
    <row r="1" spans="1:7" x14ac:dyDescent="0.25">
      <c r="A1" t="s">
        <v>917</v>
      </c>
      <c r="B1" s="45" t="s">
        <v>918</v>
      </c>
    </row>
    <row r="2" spans="1:7" x14ac:dyDescent="0.25">
      <c r="G2" s="45"/>
    </row>
    <row r="3" spans="1:7" x14ac:dyDescent="0.25">
      <c r="A3" s="38" t="s">
        <v>837</v>
      </c>
    </row>
    <row r="4" spans="1:7" x14ac:dyDescent="0.25">
      <c r="A4" s="38" t="s">
        <v>909</v>
      </c>
    </row>
    <row r="5" spans="1:7" x14ac:dyDescent="0.25">
      <c r="A5" t="s">
        <v>838</v>
      </c>
    </row>
    <row r="6" spans="1:7" x14ac:dyDescent="0.25">
      <c r="A6" t="s">
        <v>839</v>
      </c>
    </row>
    <row r="7" spans="1:7" x14ac:dyDescent="0.25">
      <c r="A7" t="s">
        <v>840</v>
      </c>
    </row>
    <row r="8" spans="1:7" x14ac:dyDescent="0.25">
      <c r="A8" t="s">
        <v>841</v>
      </c>
    </row>
    <row r="9" spans="1:7" x14ac:dyDescent="0.25">
      <c r="A9" t="s">
        <v>842</v>
      </c>
    </row>
    <row r="10" spans="1:7" x14ac:dyDescent="0.25">
      <c r="A10" t="s">
        <v>843</v>
      </c>
    </row>
    <row r="11" spans="1:7" x14ac:dyDescent="0.25">
      <c r="A11" t="s">
        <v>844</v>
      </c>
    </row>
    <row r="12" spans="1:7" x14ac:dyDescent="0.25">
      <c r="A12" s="38" t="s">
        <v>845</v>
      </c>
    </row>
    <row r="13" spans="1:7" x14ac:dyDescent="0.25">
      <c r="A13" t="s">
        <v>846</v>
      </c>
    </row>
    <row r="14" spans="1:7" x14ac:dyDescent="0.25">
      <c r="A14" t="s">
        <v>847</v>
      </c>
    </row>
    <row r="15" spans="1:7" x14ac:dyDescent="0.25">
      <c r="A15" t="s">
        <v>848</v>
      </c>
    </row>
    <row r="16" spans="1:7" x14ac:dyDescent="0.25">
      <c r="A16" t="s">
        <v>849</v>
      </c>
    </row>
    <row r="17" spans="1:1" x14ac:dyDescent="0.25">
      <c r="A17" t="s">
        <v>850</v>
      </c>
    </row>
    <row r="18" spans="1:1" x14ac:dyDescent="0.25">
      <c r="A18" t="s">
        <v>851</v>
      </c>
    </row>
    <row r="19" spans="1:1" x14ac:dyDescent="0.25">
      <c r="A19" t="s">
        <v>852</v>
      </c>
    </row>
    <row r="20" spans="1:1" x14ac:dyDescent="0.25">
      <c r="A20" t="s">
        <v>853</v>
      </c>
    </row>
    <row r="21" spans="1:1" x14ac:dyDescent="0.25">
      <c r="A21" t="s">
        <v>854</v>
      </c>
    </row>
    <row r="22" spans="1:1" x14ac:dyDescent="0.25">
      <c r="A22" t="s">
        <v>855</v>
      </c>
    </row>
    <row r="23" spans="1:1" x14ac:dyDescent="0.25">
      <c r="A23" t="s">
        <v>856</v>
      </c>
    </row>
    <row r="24" spans="1:1" x14ac:dyDescent="0.25">
      <c r="A24" t="s">
        <v>857</v>
      </c>
    </row>
    <row r="25" spans="1:1" x14ac:dyDescent="0.25">
      <c r="A25" t="s">
        <v>858</v>
      </c>
    </row>
    <row r="26" spans="1:1" x14ac:dyDescent="0.25">
      <c r="A26" t="s">
        <v>859</v>
      </c>
    </row>
    <row r="27" spans="1:1" x14ac:dyDescent="0.25">
      <c r="A27" t="s">
        <v>860</v>
      </c>
    </row>
    <row r="28" spans="1:1" x14ac:dyDescent="0.25">
      <c r="A28" t="s">
        <v>861</v>
      </c>
    </row>
    <row r="29" spans="1:1" x14ac:dyDescent="0.25">
      <c r="A29" t="s">
        <v>862</v>
      </c>
    </row>
    <row r="30" spans="1:1" x14ac:dyDescent="0.25">
      <c r="A30" t="s">
        <v>863</v>
      </c>
    </row>
    <row r="31" spans="1:1" x14ac:dyDescent="0.25">
      <c r="A31" t="s">
        <v>864</v>
      </c>
    </row>
    <row r="32" spans="1:1" x14ac:dyDescent="0.25">
      <c r="A32" t="s">
        <v>865</v>
      </c>
    </row>
    <row r="33" spans="1:1" x14ac:dyDescent="0.25">
      <c r="A33" t="s">
        <v>866</v>
      </c>
    </row>
    <row r="34" spans="1:1" x14ac:dyDescent="0.25">
      <c r="A34" t="s">
        <v>867</v>
      </c>
    </row>
    <row r="35" spans="1:1" x14ac:dyDescent="0.25">
      <c r="A35" t="s">
        <v>868</v>
      </c>
    </row>
    <row r="36" spans="1:1" x14ac:dyDescent="0.25">
      <c r="A36" t="s">
        <v>869</v>
      </c>
    </row>
    <row r="38" spans="1:1" x14ac:dyDescent="0.25">
      <c r="A38" t="s">
        <v>870</v>
      </c>
    </row>
    <row r="39" spans="1:1" x14ac:dyDescent="0.25">
      <c r="A39" t="s">
        <v>871</v>
      </c>
    </row>
    <row r="40" spans="1:1" x14ac:dyDescent="0.25">
      <c r="A40" t="s">
        <v>872</v>
      </c>
    </row>
    <row r="41" spans="1:1" x14ac:dyDescent="0.25">
      <c r="A41" t="s">
        <v>873</v>
      </c>
    </row>
    <row r="42" spans="1:1" x14ac:dyDescent="0.25">
      <c r="A42" t="s">
        <v>874</v>
      </c>
    </row>
    <row r="43" spans="1:1" x14ac:dyDescent="0.25">
      <c r="A43" t="s">
        <v>875</v>
      </c>
    </row>
    <row r="44" spans="1:1" x14ac:dyDescent="0.25">
      <c r="A44" t="s">
        <v>876</v>
      </c>
    </row>
    <row r="45" spans="1:1" x14ac:dyDescent="0.25">
      <c r="A45" t="s">
        <v>877</v>
      </c>
    </row>
    <row r="46" spans="1:1" x14ac:dyDescent="0.25">
      <c r="A46" t="s">
        <v>878</v>
      </c>
    </row>
    <row r="47" spans="1:1" x14ac:dyDescent="0.25">
      <c r="A47" t="s">
        <v>879</v>
      </c>
    </row>
    <row r="48" spans="1:1" x14ac:dyDescent="0.25">
      <c r="A48" t="s">
        <v>880</v>
      </c>
    </row>
    <row r="49" spans="1:1" x14ac:dyDescent="0.25">
      <c r="A49" t="s">
        <v>881</v>
      </c>
    </row>
    <row r="50" spans="1:1" x14ac:dyDescent="0.25">
      <c r="A50" t="s">
        <v>882</v>
      </c>
    </row>
    <row r="51" spans="1:1" x14ac:dyDescent="0.25">
      <c r="A51" t="s">
        <v>883</v>
      </c>
    </row>
    <row r="52" spans="1:1" x14ac:dyDescent="0.25">
      <c r="A52" t="s">
        <v>884</v>
      </c>
    </row>
    <row r="53" spans="1:1" x14ac:dyDescent="0.25">
      <c r="A53" t="s">
        <v>885</v>
      </c>
    </row>
    <row r="54" spans="1:1" x14ac:dyDescent="0.25">
      <c r="A54" t="s">
        <v>886</v>
      </c>
    </row>
    <row r="55" spans="1:1" x14ac:dyDescent="0.25">
      <c r="A55" t="s">
        <v>887</v>
      </c>
    </row>
    <row r="56" spans="1:1" x14ac:dyDescent="0.25">
      <c r="A56" t="s">
        <v>888</v>
      </c>
    </row>
    <row r="57" spans="1:1" x14ac:dyDescent="0.25">
      <c r="A57" t="s">
        <v>889</v>
      </c>
    </row>
    <row r="58" spans="1:1" x14ac:dyDescent="0.25">
      <c r="A58" t="s">
        <v>890</v>
      </c>
    </row>
    <row r="59" spans="1:1" x14ac:dyDescent="0.25">
      <c r="A59" t="s">
        <v>891</v>
      </c>
    </row>
    <row r="60" spans="1:1" x14ac:dyDescent="0.25">
      <c r="A60" t="s">
        <v>892</v>
      </c>
    </row>
    <row r="61" spans="1:1" x14ac:dyDescent="0.25">
      <c r="A61" t="s">
        <v>893</v>
      </c>
    </row>
    <row r="62" spans="1:1" x14ac:dyDescent="0.25">
      <c r="A62" t="s">
        <v>894</v>
      </c>
    </row>
    <row r="63" spans="1:1" x14ac:dyDescent="0.25">
      <c r="A63" t="s">
        <v>895</v>
      </c>
    </row>
    <row r="64" spans="1:1" x14ac:dyDescent="0.25">
      <c r="A64" t="s">
        <v>896</v>
      </c>
    </row>
    <row r="65" spans="1:1" x14ac:dyDescent="0.25">
      <c r="A65" t="s">
        <v>897</v>
      </c>
    </row>
    <row r="66" spans="1:1" x14ac:dyDescent="0.25">
      <c r="A66" t="s">
        <v>898</v>
      </c>
    </row>
    <row r="67" spans="1:1" x14ac:dyDescent="0.25">
      <c r="A67" t="s">
        <v>899</v>
      </c>
    </row>
    <row r="68" spans="1:1" x14ac:dyDescent="0.25">
      <c r="A68" t="s">
        <v>900</v>
      </c>
    </row>
    <row r="69" spans="1:1" x14ac:dyDescent="0.25">
      <c r="A69" t="s">
        <v>901</v>
      </c>
    </row>
    <row r="70" spans="1:1" x14ac:dyDescent="0.25">
      <c r="A70" t="s">
        <v>902</v>
      </c>
    </row>
    <row r="71" spans="1:1" x14ac:dyDescent="0.25">
      <c r="A71" t="s">
        <v>903</v>
      </c>
    </row>
    <row r="72" spans="1:1" x14ac:dyDescent="0.25">
      <c r="A72" t="s">
        <v>904</v>
      </c>
    </row>
    <row r="73" spans="1:1" x14ac:dyDescent="0.25">
      <c r="A73" t="s">
        <v>905</v>
      </c>
    </row>
    <row r="74" spans="1:1" x14ac:dyDescent="0.25">
      <c r="A74" t="s">
        <v>906</v>
      </c>
    </row>
    <row r="75" spans="1:1" x14ac:dyDescent="0.25">
      <c r="A75" t="s">
        <v>907</v>
      </c>
    </row>
    <row r="76" spans="1:1" x14ac:dyDescent="0.25">
      <c r="A76" t="s">
        <v>908</v>
      </c>
    </row>
  </sheetData>
  <hyperlinks>
    <hyperlink ref="B1" r:id="rId1" xr:uid="{3E4C15CD-2344-455B-B4D3-447BBF4AB63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A1056-5967-469A-A5B2-CF0000509A84}">
  <dimension ref="A1:AL30"/>
  <sheetViews>
    <sheetView zoomScale="98" zoomScaleNormal="98" workbookViewId="0">
      <pane ySplit="1" topLeftCell="A2" activePane="bottomLeft" state="frozen"/>
      <selection pane="bottomLeft" activeCell="AJ1" sqref="AJ1"/>
    </sheetView>
  </sheetViews>
  <sheetFormatPr defaultColWidth="10.875" defaultRowHeight="15" x14ac:dyDescent="0.25"/>
  <cols>
    <col min="1" max="2" width="32.625" style="2" customWidth="1"/>
    <col min="3" max="3" width="42.625" style="2" customWidth="1"/>
    <col min="4" max="4" width="22.5" style="2" customWidth="1"/>
    <col min="5" max="5" width="19.5" style="2" customWidth="1"/>
    <col min="6" max="7" width="12.125" style="2" customWidth="1"/>
    <col min="8" max="8" width="15" style="1" customWidth="1"/>
    <col min="9" max="9" width="15.25" style="1" customWidth="1"/>
    <col min="10" max="10" width="14.875" style="2" customWidth="1"/>
    <col min="11" max="11" width="11.625" style="2" customWidth="1"/>
    <col min="12" max="12" width="14.625" style="2" customWidth="1"/>
    <col min="13" max="14" width="28.625" style="2" customWidth="1"/>
    <col min="15" max="15" width="24.625" style="2" customWidth="1"/>
    <col min="16" max="16" width="54.5" style="2" customWidth="1"/>
    <col min="17" max="17" width="43.375" style="2" customWidth="1"/>
    <col min="18" max="18" width="22.75" style="2" customWidth="1"/>
    <col min="19" max="19" width="26.375" style="3" customWidth="1"/>
    <col min="20" max="20" width="13.75" style="2" customWidth="1"/>
    <col min="21" max="21" width="13.625" style="2" customWidth="1"/>
    <col min="22" max="22" width="10.875" style="2" customWidth="1"/>
    <col min="23" max="23" width="75.375" style="2" customWidth="1"/>
    <col min="24" max="24" width="21.625" style="2" customWidth="1"/>
    <col min="25" max="25" width="16.875" style="2" customWidth="1"/>
    <col min="26" max="26" width="38.625" style="2" customWidth="1"/>
    <col min="27" max="27" width="23.125" style="2" customWidth="1"/>
    <col min="28" max="28" width="18.875" style="2" customWidth="1"/>
    <col min="29" max="29" width="35.375" style="2" customWidth="1"/>
    <col min="30" max="30" width="33.375" style="2" customWidth="1"/>
    <col min="31" max="31" width="19.75" style="2" customWidth="1"/>
    <col min="32" max="33" width="16.875" style="2" customWidth="1"/>
    <col min="34" max="34" width="55.875" style="2" customWidth="1"/>
    <col min="35" max="35" width="66.25" style="2" customWidth="1"/>
    <col min="36" max="36" width="17" style="2" customWidth="1"/>
    <col min="37" max="37" width="109.5" style="2" customWidth="1"/>
    <col min="38" max="38" width="22.625" style="2" customWidth="1"/>
    <col min="39" max="16384" width="10.875" style="2"/>
  </cols>
  <sheetData>
    <row r="1" spans="1:38" s="5" customFormat="1" ht="132" x14ac:dyDescent="0.25">
      <c r="A1" s="8" t="s">
        <v>316</v>
      </c>
      <c r="B1" s="8" t="s">
        <v>533</v>
      </c>
      <c r="C1" s="8" t="s">
        <v>317</v>
      </c>
      <c r="D1" s="8" t="s">
        <v>535</v>
      </c>
      <c r="E1" s="8" t="s">
        <v>318</v>
      </c>
      <c r="F1" s="8" t="s">
        <v>319</v>
      </c>
      <c r="G1" s="8" t="s">
        <v>320</v>
      </c>
      <c r="H1" s="8" t="s">
        <v>538</v>
      </c>
      <c r="I1" s="8" t="s">
        <v>539</v>
      </c>
      <c r="J1" s="8" t="s">
        <v>540</v>
      </c>
      <c r="K1" s="8" t="s">
        <v>541</v>
      </c>
      <c r="L1" s="8" t="s">
        <v>542</v>
      </c>
      <c r="M1" s="8" t="s">
        <v>572</v>
      </c>
      <c r="N1" s="8" t="s">
        <v>573</v>
      </c>
      <c r="O1" s="8" t="s">
        <v>589</v>
      </c>
      <c r="P1" s="8" t="s">
        <v>0</v>
      </c>
      <c r="Q1" s="8" t="s">
        <v>1</v>
      </c>
      <c r="R1" s="8" t="s">
        <v>2</v>
      </c>
      <c r="S1" s="8" t="s">
        <v>546</v>
      </c>
      <c r="T1" s="8" t="s">
        <v>547</v>
      </c>
      <c r="U1" s="8" t="s">
        <v>548</v>
      </c>
      <c r="V1" s="8" t="s">
        <v>549</v>
      </c>
      <c r="W1" s="8" t="s">
        <v>576</v>
      </c>
      <c r="X1" s="8" t="s">
        <v>577</v>
      </c>
      <c r="Y1" s="8" t="s">
        <v>578</v>
      </c>
      <c r="Z1" s="8" t="s">
        <v>579</v>
      </c>
      <c r="AA1" s="8" t="s">
        <v>580</v>
      </c>
      <c r="AB1" s="8" t="s">
        <v>581</v>
      </c>
      <c r="AC1" s="8" t="s">
        <v>590</v>
      </c>
      <c r="AD1" s="8" t="s">
        <v>583</v>
      </c>
      <c r="AE1" s="8" t="s">
        <v>584</v>
      </c>
      <c r="AF1" s="8" t="s">
        <v>585</v>
      </c>
      <c r="AG1" s="8" t="s">
        <v>586</v>
      </c>
      <c r="AH1" s="8" t="s">
        <v>587</v>
      </c>
      <c r="AI1" s="8" t="s">
        <v>550</v>
      </c>
      <c r="AJ1" s="8" t="s">
        <v>551</v>
      </c>
      <c r="AK1" s="8" t="s">
        <v>552</v>
      </c>
      <c r="AL1" s="8" t="s">
        <v>591</v>
      </c>
    </row>
    <row r="2" spans="1:38" ht="69" customHeight="1" x14ac:dyDescent="0.25">
      <c r="A2" s="2" t="s">
        <v>3</v>
      </c>
      <c r="B2" s="2" t="s">
        <v>554</v>
      </c>
      <c r="C2" s="2" t="s">
        <v>4</v>
      </c>
      <c r="D2" s="2" t="s">
        <v>87</v>
      </c>
      <c r="E2" s="2" t="s">
        <v>298</v>
      </c>
      <c r="F2" s="2" t="s">
        <v>6</v>
      </c>
      <c r="G2" s="2">
        <v>1</v>
      </c>
      <c r="H2" s="1">
        <v>58.3</v>
      </c>
      <c r="I2" s="1">
        <f t="shared" ref="I2:I4" si="0">H2/G2</f>
        <v>58.3</v>
      </c>
      <c r="J2" s="2" t="s">
        <v>12</v>
      </c>
      <c r="K2" s="2" t="s">
        <v>12</v>
      </c>
      <c r="L2" s="2" t="s">
        <v>5</v>
      </c>
      <c r="M2" s="2">
        <v>18.75</v>
      </c>
      <c r="N2" s="2">
        <f>Table133[[#This Row],[Doses per inhaler1,2]]*Table133[[#This Row],[Indicative carbon footprint /puff (g CO2e) 
Midpoint value7,8]]</f>
        <v>18.75</v>
      </c>
      <c r="O2" s="3" t="str">
        <f>IF(Table133[[#This Row],[Indicative carbon footprint /puff (g CO2e) 
Midpoint value7,8]]&lt;35,"Low","High")</f>
        <v>Low</v>
      </c>
      <c r="P2" s="2" t="s">
        <v>330</v>
      </c>
      <c r="Q2" s="2" t="s">
        <v>7</v>
      </c>
      <c r="R2" s="2" t="s">
        <v>5</v>
      </c>
      <c r="S2" s="4" t="s">
        <v>8</v>
      </c>
      <c r="U2" s="2" t="s">
        <v>17</v>
      </c>
      <c r="W2" s="2" t="s">
        <v>63</v>
      </c>
      <c r="X2" s="2" t="s">
        <v>63</v>
      </c>
      <c r="Y2" s="2" t="s">
        <v>63</v>
      </c>
      <c r="Z2" s="2" t="s">
        <v>63</v>
      </c>
      <c r="AA2" s="2" t="s">
        <v>63</v>
      </c>
      <c r="AB2" s="2" t="s">
        <v>63</v>
      </c>
      <c r="AC2" s="2" t="s">
        <v>63</v>
      </c>
      <c r="AD2" s="2" t="s">
        <v>63</v>
      </c>
      <c r="AE2" s="2" t="s">
        <v>63</v>
      </c>
      <c r="AF2" s="2" t="s">
        <v>63</v>
      </c>
      <c r="AG2" s="2" t="s">
        <v>63</v>
      </c>
      <c r="AH2" s="2" t="s">
        <v>63</v>
      </c>
      <c r="AI2" s="2" t="s">
        <v>63</v>
      </c>
      <c r="AJ2" s="2" t="s">
        <v>63</v>
      </c>
      <c r="AK2" s="2" t="s">
        <v>63</v>
      </c>
      <c r="AL2" s="10" t="s">
        <v>313</v>
      </c>
    </row>
    <row r="3" spans="1:38" ht="48" x14ac:dyDescent="0.25">
      <c r="A3" s="2" t="s">
        <v>73</v>
      </c>
      <c r="B3" s="2" t="s">
        <v>557</v>
      </c>
      <c r="C3" s="2" t="s">
        <v>74</v>
      </c>
      <c r="D3" s="2" t="s">
        <v>87</v>
      </c>
      <c r="E3" s="2" t="s">
        <v>299</v>
      </c>
      <c r="F3" s="2" t="s">
        <v>6</v>
      </c>
      <c r="G3" s="2">
        <v>280</v>
      </c>
      <c r="H3" s="1">
        <v>231.66</v>
      </c>
      <c r="I3" s="1">
        <f t="shared" si="0"/>
        <v>0.82735714285714279</v>
      </c>
      <c r="J3" s="2" t="s">
        <v>12</v>
      </c>
      <c r="K3" s="2" t="s">
        <v>12</v>
      </c>
      <c r="L3" s="2" t="s">
        <v>5</v>
      </c>
      <c r="M3" s="2">
        <v>18.75</v>
      </c>
      <c r="N3" s="2">
        <f>Table133[[#This Row],[Doses per inhaler1,2]]*Table133[[#This Row],[Indicative carbon footprint /puff (g CO2e) 
Midpoint value7,8]]</f>
        <v>5250</v>
      </c>
      <c r="O3" s="3" t="str">
        <f>IF(Table133[[#This Row],[Indicative carbon footprint /puff (g CO2e) 
Midpoint value7,8]]&lt;35,"Low","High")</f>
        <v>Low</v>
      </c>
      <c r="P3" s="1"/>
      <c r="Q3" s="2" t="s">
        <v>7</v>
      </c>
      <c r="R3" s="2" t="s">
        <v>5</v>
      </c>
      <c r="S3" s="4" t="s">
        <v>75</v>
      </c>
      <c r="U3" s="2" t="s">
        <v>17</v>
      </c>
      <c r="W3" s="2" t="s">
        <v>63</v>
      </c>
      <c r="X3" s="2" t="s">
        <v>63</v>
      </c>
      <c r="Y3" s="2" t="s">
        <v>63</v>
      </c>
      <c r="Z3" s="2" t="s">
        <v>63</v>
      </c>
      <c r="AA3" s="2" t="s">
        <v>63</v>
      </c>
      <c r="AB3" s="2" t="s">
        <v>63</v>
      </c>
      <c r="AC3" s="2" t="s">
        <v>63</v>
      </c>
      <c r="AD3" s="2" t="s">
        <v>63</v>
      </c>
      <c r="AE3" s="2" t="s">
        <v>63</v>
      </c>
      <c r="AF3" s="2" t="s">
        <v>63</v>
      </c>
      <c r="AG3" s="2" t="s">
        <v>63</v>
      </c>
      <c r="AH3" s="2" t="s">
        <v>63</v>
      </c>
      <c r="AI3" s="2" t="s">
        <v>63</v>
      </c>
      <c r="AJ3" s="2" t="s">
        <v>63</v>
      </c>
      <c r="AK3" s="2" t="s">
        <v>63</v>
      </c>
      <c r="AL3" s="10" t="s">
        <v>313</v>
      </c>
    </row>
    <row r="4" spans="1:38" ht="30" x14ac:dyDescent="0.25">
      <c r="A4" s="2" t="s">
        <v>86</v>
      </c>
      <c r="B4" s="2" t="s">
        <v>23</v>
      </c>
      <c r="C4" s="2" t="s">
        <v>518</v>
      </c>
      <c r="D4" s="2" t="s">
        <v>87</v>
      </c>
      <c r="E4" s="2" t="s">
        <v>300</v>
      </c>
      <c r="F4" s="2" t="s">
        <v>6</v>
      </c>
      <c r="G4" s="2">
        <v>56</v>
      </c>
      <c r="H4" s="1">
        <v>968.8</v>
      </c>
      <c r="I4" s="1">
        <f t="shared" si="0"/>
        <v>17.3</v>
      </c>
      <c r="J4" s="2" t="s">
        <v>76</v>
      </c>
      <c r="K4" s="2" t="s">
        <v>76</v>
      </c>
      <c r="L4" s="2" t="s">
        <v>5</v>
      </c>
      <c r="M4" s="2">
        <v>18.75</v>
      </c>
      <c r="N4" s="2">
        <f>Table133[[#This Row],[Doses per inhaler1,2]]*Table133[[#This Row],[Indicative carbon footprint /puff (g CO2e) 
Midpoint value7,8]]</f>
        <v>1050</v>
      </c>
      <c r="O4" s="3" t="str">
        <f>IF(Table133[[#This Row],[Indicative carbon footprint /puff (g CO2e) 
Midpoint value7,8]]&lt;35,"Low","High")</f>
        <v>Low</v>
      </c>
      <c r="P4" s="1"/>
      <c r="Q4" s="2" t="s">
        <v>7</v>
      </c>
      <c r="R4" s="2" t="s">
        <v>5</v>
      </c>
      <c r="S4" s="4" t="s">
        <v>88</v>
      </c>
      <c r="U4" s="2" t="s">
        <v>17</v>
      </c>
      <c r="W4" s="2" t="s">
        <v>63</v>
      </c>
      <c r="X4" s="2" t="s">
        <v>63</v>
      </c>
      <c r="Y4" s="2" t="s">
        <v>63</v>
      </c>
      <c r="Z4" s="2" t="s">
        <v>63</v>
      </c>
      <c r="AA4" s="2" t="s">
        <v>63</v>
      </c>
      <c r="AB4" s="2" t="s">
        <v>63</v>
      </c>
      <c r="AC4" s="2" t="s">
        <v>63</v>
      </c>
      <c r="AD4" s="2" t="s">
        <v>63</v>
      </c>
      <c r="AE4" s="2" t="s">
        <v>63</v>
      </c>
      <c r="AF4" s="2" t="s">
        <v>63</v>
      </c>
      <c r="AG4" s="2" t="s">
        <v>63</v>
      </c>
      <c r="AH4" s="2" t="s">
        <v>63</v>
      </c>
      <c r="AI4" s="2" t="s">
        <v>63</v>
      </c>
      <c r="AJ4" s="2" t="s">
        <v>63</v>
      </c>
      <c r="AK4" s="2" t="s">
        <v>63</v>
      </c>
      <c r="AL4" s="10" t="s">
        <v>313</v>
      </c>
    </row>
    <row r="5" spans="1:38" ht="30" x14ac:dyDescent="0.25">
      <c r="A5" s="2" t="s">
        <v>185</v>
      </c>
      <c r="B5" s="2" t="s">
        <v>555</v>
      </c>
      <c r="C5" s="2" t="s">
        <v>186</v>
      </c>
      <c r="D5" s="2" t="s">
        <v>187</v>
      </c>
      <c r="E5" s="2" t="s">
        <v>299</v>
      </c>
      <c r="F5" s="2" t="s">
        <v>6</v>
      </c>
      <c r="G5" s="2">
        <v>1</v>
      </c>
      <c r="H5" s="1" t="s">
        <v>188</v>
      </c>
      <c r="I5" s="1" t="s">
        <v>188</v>
      </c>
      <c r="J5" s="2" t="s">
        <v>12</v>
      </c>
      <c r="K5" s="2" t="s">
        <v>12</v>
      </c>
      <c r="L5" s="2" t="s">
        <v>5</v>
      </c>
      <c r="M5" s="2">
        <v>18.75</v>
      </c>
      <c r="N5" s="2">
        <f>Table133[[#This Row],[Doses per inhaler1,2]]*Table133[[#This Row],[Indicative carbon footprint /puff (g CO2e) 
Midpoint value7,8]]</f>
        <v>18.75</v>
      </c>
      <c r="O5" s="3" t="str">
        <f>IF(Table133[[#This Row],[Indicative carbon footprint /puff (g CO2e) 
Midpoint value7,8]]&lt;35,"Low","High")</f>
        <v>Low</v>
      </c>
      <c r="P5" s="1"/>
      <c r="Q5" s="1" t="s">
        <v>7</v>
      </c>
      <c r="R5" s="2" t="s">
        <v>5</v>
      </c>
      <c r="S5" s="4" t="s">
        <v>189</v>
      </c>
      <c r="U5" s="2" t="s">
        <v>17</v>
      </c>
      <c r="V5" s="9" t="s">
        <v>5</v>
      </c>
      <c r="W5" s="2" t="s">
        <v>63</v>
      </c>
      <c r="X5" s="2" t="s">
        <v>63</v>
      </c>
      <c r="Y5" s="2" t="s">
        <v>63</v>
      </c>
      <c r="Z5" s="2" t="s">
        <v>63</v>
      </c>
      <c r="AA5" s="2" t="s">
        <v>63</v>
      </c>
      <c r="AB5" s="2" t="s">
        <v>63</v>
      </c>
      <c r="AC5" s="2" t="s">
        <v>63</v>
      </c>
      <c r="AD5" s="2" t="s">
        <v>63</v>
      </c>
      <c r="AE5" s="2" t="s">
        <v>63</v>
      </c>
      <c r="AF5" s="2" t="s">
        <v>63</v>
      </c>
      <c r="AG5" s="2" t="s">
        <v>63</v>
      </c>
      <c r="AH5" s="2" t="s">
        <v>63</v>
      </c>
      <c r="AI5" s="2" t="s">
        <v>63</v>
      </c>
      <c r="AJ5" s="2" t="s">
        <v>63</v>
      </c>
      <c r="AK5" s="2" t="s">
        <v>63</v>
      </c>
      <c r="AL5" s="10" t="s">
        <v>313</v>
      </c>
    </row>
    <row r="6" spans="1:38" ht="30" x14ac:dyDescent="0.25">
      <c r="A6" s="2" t="s">
        <v>190</v>
      </c>
      <c r="B6" s="2" t="s">
        <v>555</v>
      </c>
      <c r="C6" s="2" t="s">
        <v>191</v>
      </c>
      <c r="D6" s="2" t="s">
        <v>187</v>
      </c>
      <c r="E6" s="2" t="s">
        <v>299</v>
      </c>
      <c r="F6" s="2" t="s">
        <v>6</v>
      </c>
      <c r="G6" s="2">
        <v>1</v>
      </c>
      <c r="H6" s="1" t="s">
        <v>188</v>
      </c>
      <c r="I6" s="1" t="s">
        <v>188</v>
      </c>
      <c r="J6" s="2" t="s">
        <v>12</v>
      </c>
      <c r="K6" s="2" t="s">
        <v>12</v>
      </c>
      <c r="L6" s="2" t="s">
        <v>5</v>
      </c>
      <c r="M6" s="2">
        <v>18.75</v>
      </c>
      <c r="N6" s="2">
        <f>Table133[[#This Row],[Doses per inhaler1,2]]*Table133[[#This Row],[Indicative carbon footprint /puff (g CO2e) 
Midpoint value7,8]]</f>
        <v>18.75</v>
      </c>
      <c r="O6" s="3" t="str">
        <f>IF(Table133[[#This Row],[Indicative carbon footprint /puff (g CO2e) 
Midpoint value7,8]]&lt;35,"Low","High")</f>
        <v>Low</v>
      </c>
      <c r="Q6" s="1" t="s">
        <v>7</v>
      </c>
      <c r="R6" s="2" t="s">
        <v>5</v>
      </c>
      <c r="S6" s="4" t="s">
        <v>192</v>
      </c>
      <c r="U6" s="2" t="s">
        <v>17</v>
      </c>
      <c r="V6" s="9" t="s">
        <v>5</v>
      </c>
      <c r="W6" s="2" t="s">
        <v>63</v>
      </c>
      <c r="X6" s="2" t="s">
        <v>63</v>
      </c>
      <c r="Y6" s="2" t="s">
        <v>63</v>
      </c>
      <c r="Z6" s="2" t="s">
        <v>63</v>
      </c>
      <c r="AA6" s="2" t="s">
        <v>63</v>
      </c>
      <c r="AB6" s="2" t="s">
        <v>63</v>
      </c>
      <c r="AC6" s="2" t="s">
        <v>63</v>
      </c>
      <c r="AD6" s="2" t="s">
        <v>63</v>
      </c>
      <c r="AE6" s="2" t="s">
        <v>63</v>
      </c>
      <c r="AF6" s="2" t="s">
        <v>63</v>
      </c>
      <c r="AG6" s="2" t="s">
        <v>63</v>
      </c>
      <c r="AH6" s="2" t="s">
        <v>63</v>
      </c>
      <c r="AI6" s="2" t="s">
        <v>63</v>
      </c>
      <c r="AJ6" s="2" t="s">
        <v>63</v>
      </c>
      <c r="AK6" s="2" t="s">
        <v>63</v>
      </c>
      <c r="AL6" s="10" t="s">
        <v>313</v>
      </c>
    </row>
    <row r="7" spans="1:38" ht="30" x14ac:dyDescent="0.25">
      <c r="A7" s="2" t="s">
        <v>193</v>
      </c>
      <c r="B7" s="2" t="s">
        <v>555</v>
      </c>
      <c r="C7" s="2" t="s">
        <v>194</v>
      </c>
      <c r="D7" s="2" t="s">
        <v>187</v>
      </c>
      <c r="E7" s="2" t="s">
        <v>299</v>
      </c>
      <c r="F7" s="2" t="s">
        <v>6</v>
      </c>
      <c r="G7" s="2">
        <v>15</v>
      </c>
      <c r="H7" s="1" t="s">
        <v>188</v>
      </c>
      <c r="I7" s="1" t="s">
        <v>188</v>
      </c>
      <c r="J7" s="2" t="s">
        <v>12</v>
      </c>
      <c r="K7" s="2" t="s">
        <v>12</v>
      </c>
      <c r="L7" s="2" t="s">
        <v>5</v>
      </c>
      <c r="M7" s="2">
        <v>18.75</v>
      </c>
      <c r="N7" s="2">
        <f>Table133[[#This Row],[Doses per inhaler1,2]]*Table133[[#This Row],[Indicative carbon footprint /puff (g CO2e) 
Midpoint value7,8]]</f>
        <v>281.25</v>
      </c>
      <c r="O7" s="3" t="str">
        <f>IF(Table133[[#This Row],[Indicative carbon footprint /puff (g CO2e) 
Midpoint value7,8]]&lt;35,"Low","High")</f>
        <v>Low</v>
      </c>
      <c r="P7" s="1"/>
      <c r="Q7" s="1" t="s">
        <v>7</v>
      </c>
      <c r="R7" s="2" t="s">
        <v>5</v>
      </c>
      <c r="S7" s="4" t="s">
        <v>195</v>
      </c>
      <c r="U7" s="2" t="s">
        <v>17</v>
      </c>
      <c r="V7" s="9" t="s">
        <v>5</v>
      </c>
      <c r="W7" s="2" t="s">
        <v>63</v>
      </c>
      <c r="X7" s="2" t="s">
        <v>63</v>
      </c>
      <c r="Y7" s="2" t="s">
        <v>63</v>
      </c>
      <c r="Z7" s="2" t="s">
        <v>63</v>
      </c>
      <c r="AA7" s="2" t="s">
        <v>63</v>
      </c>
      <c r="AB7" s="2" t="s">
        <v>63</v>
      </c>
      <c r="AC7" s="2" t="s">
        <v>63</v>
      </c>
      <c r="AD7" s="2" t="s">
        <v>63</v>
      </c>
      <c r="AE7" s="2" t="s">
        <v>63</v>
      </c>
      <c r="AF7" s="2" t="s">
        <v>63</v>
      </c>
      <c r="AG7" s="2" t="s">
        <v>63</v>
      </c>
      <c r="AH7" s="2" t="s">
        <v>63</v>
      </c>
      <c r="AI7" s="2" t="s">
        <v>63</v>
      </c>
      <c r="AJ7" s="2" t="s">
        <v>63</v>
      </c>
      <c r="AK7" s="2" t="s">
        <v>63</v>
      </c>
      <c r="AL7" s="10" t="s">
        <v>313</v>
      </c>
    </row>
    <row r="8" spans="1:38" ht="30" x14ac:dyDescent="0.25">
      <c r="A8" s="2" t="s">
        <v>196</v>
      </c>
      <c r="B8" s="2" t="s">
        <v>555</v>
      </c>
      <c r="C8" s="2" t="s">
        <v>197</v>
      </c>
      <c r="D8" s="2" t="s">
        <v>187</v>
      </c>
      <c r="E8" s="2" t="s">
        <v>299</v>
      </c>
      <c r="F8" s="2" t="s">
        <v>6</v>
      </c>
      <c r="G8" s="2">
        <v>1</v>
      </c>
      <c r="H8" s="1" t="s">
        <v>188</v>
      </c>
      <c r="I8" s="1" t="s">
        <v>188</v>
      </c>
      <c r="J8" s="2" t="s">
        <v>12</v>
      </c>
      <c r="K8" s="2" t="s">
        <v>12</v>
      </c>
      <c r="L8" s="2" t="s">
        <v>5</v>
      </c>
      <c r="M8" s="2">
        <v>18.75</v>
      </c>
      <c r="N8" s="2">
        <f>Table133[[#This Row],[Doses per inhaler1,2]]*Table133[[#This Row],[Indicative carbon footprint /puff (g CO2e) 
Midpoint value7,8]]</f>
        <v>18.75</v>
      </c>
      <c r="O8" s="3" t="str">
        <f>IF(Table133[[#This Row],[Indicative carbon footprint /puff (g CO2e) 
Midpoint value7,8]]&lt;35,"Low","High")</f>
        <v>Low</v>
      </c>
      <c r="P8" s="1"/>
      <c r="Q8" s="1" t="s">
        <v>7</v>
      </c>
      <c r="R8" s="2" t="s">
        <v>5</v>
      </c>
      <c r="S8" s="4" t="s">
        <v>198</v>
      </c>
      <c r="U8" s="2" t="s">
        <v>17</v>
      </c>
      <c r="V8" s="9" t="s">
        <v>5</v>
      </c>
      <c r="W8" s="2" t="s">
        <v>63</v>
      </c>
      <c r="X8" s="2" t="s">
        <v>63</v>
      </c>
      <c r="Y8" s="2" t="s">
        <v>63</v>
      </c>
      <c r="Z8" s="2" t="s">
        <v>63</v>
      </c>
      <c r="AA8" s="2" t="s">
        <v>63</v>
      </c>
      <c r="AB8" s="2" t="s">
        <v>63</v>
      </c>
      <c r="AC8" s="2" t="s">
        <v>63</v>
      </c>
      <c r="AD8" s="2" t="s">
        <v>63</v>
      </c>
      <c r="AE8" s="2" t="s">
        <v>63</v>
      </c>
      <c r="AF8" s="2" t="s">
        <v>63</v>
      </c>
      <c r="AG8" s="2" t="s">
        <v>63</v>
      </c>
      <c r="AH8" s="2" t="s">
        <v>63</v>
      </c>
      <c r="AI8" s="2" t="s">
        <v>63</v>
      </c>
      <c r="AJ8" s="2" t="s">
        <v>63</v>
      </c>
      <c r="AK8" s="2" t="s">
        <v>63</v>
      </c>
      <c r="AL8" s="10" t="s">
        <v>313</v>
      </c>
    </row>
    <row r="9" spans="1:38" ht="30" x14ac:dyDescent="0.25">
      <c r="A9" s="2" t="s">
        <v>202</v>
      </c>
      <c r="B9" s="2" t="s">
        <v>556</v>
      </c>
      <c r="C9" s="2" t="s">
        <v>203</v>
      </c>
      <c r="D9" s="2" t="s">
        <v>87</v>
      </c>
      <c r="E9" s="2" t="s">
        <v>301</v>
      </c>
      <c r="F9" s="2" t="s">
        <v>305</v>
      </c>
      <c r="G9" s="2">
        <v>1</v>
      </c>
      <c r="H9" s="1">
        <v>17.89</v>
      </c>
      <c r="I9" s="1">
        <f t="shared" ref="I9:I11" si="1">H9/G9</f>
        <v>17.89</v>
      </c>
      <c r="J9" s="2" t="s">
        <v>12</v>
      </c>
      <c r="K9" s="2" t="s">
        <v>12</v>
      </c>
      <c r="L9" s="2" t="s">
        <v>5</v>
      </c>
      <c r="M9" s="2">
        <v>0.01</v>
      </c>
      <c r="N9" s="2">
        <v>0.77500000000000002</v>
      </c>
      <c r="O9" s="3" t="str">
        <f>IF(Table133[[#This Row],[Indicative carbon footprint /puff (g CO2e) 
Midpoint value7,8]]&lt;35,"Low","High")</f>
        <v>Low</v>
      </c>
      <c r="Q9" s="1" t="s">
        <v>7</v>
      </c>
      <c r="R9" s="2" t="s">
        <v>5</v>
      </c>
      <c r="S9" s="4" t="s">
        <v>204</v>
      </c>
      <c r="W9" s="2" t="s">
        <v>297</v>
      </c>
      <c r="X9" s="2" t="s">
        <v>63</v>
      </c>
      <c r="Y9" s="2" t="s">
        <v>63</v>
      </c>
      <c r="Z9" s="2" t="s">
        <v>63</v>
      </c>
      <c r="AA9" s="2" t="s">
        <v>63</v>
      </c>
      <c r="AB9" s="2" t="s">
        <v>63</v>
      </c>
      <c r="AC9" s="2" t="s">
        <v>63</v>
      </c>
      <c r="AD9" s="2" t="s">
        <v>63</v>
      </c>
      <c r="AE9" s="2" t="s">
        <v>63</v>
      </c>
      <c r="AF9" s="2" t="s">
        <v>63</v>
      </c>
      <c r="AG9" s="2" t="s">
        <v>63</v>
      </c>
      <c r="AH9" s="2" t="s">
        <v>63</v>
      </c>
      <c r="AI9" s="2" t="s">
        <v>63</v>
      </c>
      <c r="AJ9" s="2" t="s">
        <v>63</v>
      </c>
      <c r="AK9" s="2" t="s">
        <v>63</v>
      </c>
      <c r="AL9" s="10" t="s">
        <v>313</v>
      </c>
    </row>
    <row r="10" spans="1:38" ht="30" x14ac:dyDescent="0.25">
      <c r="A10" s="2" t="s">
        <v>217</v>
      </c>
      <c r="B10" s="2" t="s">
        <v>41</v>
      </c>
      <c r="C10" s="2" t="s">
        <v>218</v>
      </c>
      <c r="D10" s="2" t="s">
        <v>87</v>
      </c>
      <c r="E10" s="2" t="s">
        <v>302</v>
      </c>
      <c r="F10" s="2" t="s">
        <v>6</v>
      </c>
      <c r="G10" s="2">
        <v>20</v>
      </c>
      <c r="H10" s="1">
        <v>16.36</v>
      </c>
      <c r="I10" s="1">
        <f t="shared" si="1"/>
        <v>0.81799999999999995</v>
      </c>
      <c r="J10" s="2" t="s">
        <v>122</v>
      </c>
      <c r="K10" s="2" t="s">
        <v>306</v>
      </c>
      <c r="L10" s="2" t="s">
        <v>5</v>
      </c>
      <c r="M10" s="2">
        <v>18.75</v>
      </c>
      <c r="N10" s="2">
        <f>Table133[[#This Row],[Doses per inhaler1,2]]*Table133[[#This Row],[Indicative carbon footprint /puff (g CO2e) 
Midpoint value7,8]]</f>
        <v>375</v>
      </c>
      <c r="O10" s="3" t="str">
        <f>IF(Table133[[#This Row],[Indicative carbon footprint /puff (g CO2e) 
Midpoint value7,8]]&lt;35,"Low","High")</f>
        <v>Low</v>
      </c>
      <c r="Q10" s="1" t="s">
        <v>7</v>
      </c>
      <c r="R10" s="2" t="s">
        <v>5</v>
      </c>
      <c r="S10" s="4" t="s">
        <v>219</v>
      </c>
      <c r="U10" s="2" t="s">
        <v>17</v>
      </c>
      <c r="V10" s="9" t="s">
        <v>5</v>
      </c>
      <c r="W10" s="2" t="s">
        <v>63</v>
      </c>
      <c r="X10" s="2" t="s">
        <v>63</v>
      </c>
      <c r="Y10" s="2" t="s">
        <v>63</v>
      </c>
      <c r="Z10" s="2" t="s">
        <v>63</v>
      </c>
      <c r="AA10" s="2" t="s">
        <v>63</v>
      </c>
      <c r="AB10" s="2" t="s">
        <v>63</v>
      </c>
      <c r="AC10" s="2" t="s">
        <v>63</v>
      </c>
      <c r="AD10" s="2" t="s">
        <v>63</v>
      </c>
      <c r="AE10" s="2" t="s">
        <v>63</v>
      </c>
      <c r="AF10" s="2" t="s">
        <v>63</v>
      </c>
      <c r="AG10" s="2" t="s">
        <v>63</v>
      </c>
      <c r="AH10" s="2" t="s">
        <v>63</v>
      </c>
      <c r="AI10" s="2" t="s">
        <v>63</v>
      </c>
      <c r="AJ10" s="2" t="s">
        <v>63</v>
      </c>
      <c r="AK10" s="2" t="s">
        <v>63</v>
      </c>
      <c r="AL10" s="10" t="s">
        <v>313</v>
      </c>
    </row>
    <row r="11" spans="1:38" ht="30" x14ac:dyDescent="0.25">
      <c r="A11" s="2" t="s">
        <v>279</v>
      </c>
      <c r="B11" s="2" t="s">
        <v>32</v>
      </c>
      <c r="C11" s="2" t="s">
        <v>280</v>
      </c>
      <c r="D11" s="2" t="s">
        <v>87</v>
      </c>
      <c r="E11" s="2" t="s">
        <v>303</v>
      </c>
      <c r="F11" s="2" t="s">
        <v>6</v>
      </c>
      <c r="G11" s="2">
        <v>224</v>
      </c>
      <c r="H11" s="1">
        <v>1790</v>
      </c>
      <c r="I11" s="1">
        <f t="shared" si="1"/>
        <v>7.9910714285714288</v>
      </c>
      <c r="J11" s="2" t="s">
        <v>76</v>
      </c>
      <c r="K11" s="2" t="s">
        <v>76</v>
      </c>
      <c r="L11" s="2" t="s">
        <v>5</v>
      </c>
      <c r="M11" s="2">
        <v>18.75</v>
      </c>
      <c r="N11" s="2">
        <f>Table133[[#This Row],[Doses per inhaler1,2]]*Table133[[#This Row],[Indicative carbon footprint /puff (g CO2e) 
Midpoint value7,8]]</f>
        <v>4200</v>
      </c>
      <c r="O11" s="3" t="str">
        <f>IF(Table133[[#This Row],[Indicative carbon footprint /puff (g CO2e) 
Midpoint value7,8]]&lt;35,"Low","High")</f>
        <v>Low</v>
      </c>
      <c r="Q11" s="1" t="s">
        <v>7</v>
      </c>
      <c r="R11" s="2" t="s">
        <v>5</v>
      </c>
      <c r="S11" s="4" t="s">
        <v>281</v>
      </c>
      <c r="U11" s="2" t="s">
        <v>17</v>
      </c>
      <c r="V11" s="9" t="s">
        <v>5</v>
      </c>
      <c r="W11" s="2" t="s">
        <v>63</v>
      </c>
      <c r="X11" s="12" t="s">
        <v>63</v>
      </c>
      <c r="Y11" s="12" t="s">
        <v>63</v>
      </c>
      <c r="Z11" s="12" t="s">
        <v>63</v>
      </c>
      <c r="AA11" s="12" t="s">
        <v>63</v>
      </c>
      <c r="AB11" s="12" t="s">
        <v>63</v>
      </c>
      <c r="AC11" s="12" t="s">
        <v>63</v>
      </c>
      <c r="AD11" s="12" t="s">
        <v>63</v>
      </c>
      <c r="AE11" s="12" t="s">
        <v>63</v>
      </c>
      <c r="AF11" s="12" t="s">
        <v>63</v>
      </c>
      <c r="AG11" s="12" t="s">
        <v>63</v>
      </c>
      <c r="AH11" s="12" t="s">
        <v>63</v>
      </c>
      <c r="AI11" s="12" t="s">
        <v>63</v>
      </c>
      <c r="AJ11" s="12" t="s">
        <v>63</v>
      </c>
      <c r="AK11" s="12" t="s">
        <v>63</v>
      </c>
      <c r="AL11" s="10" t="s">
        <v>313</v>
      </c>
    </row>
    <row r="12" spans="1:38" x14ac:dyDescent="0.25">
      <c r="A12" s="17"/>
      <c r="B12" s="18"/>
      <c r="C12" s="18"/>
      <c r="D12" s="18"/>
      <c r="E12" s="18"/>
      <c r="F12" s="18"/>
      <c r="G12" s="18"/>
      <c r="H12" s="13"/>
      <c r="I12" s="13"/>
      <c r="J12" s="18"/>
      <c r="K12" s="18"/>
      <c r="L12" s="18"/>
      <c r="M12" s="18"/>
      <c r="N12" s="18"/>
      <c r="O12" s="20"/>
      <c r="P12" s="21"/>
      <c r="Q12" s="13"/>
      <c r="R12" s="18"/>
      <c r="S12" s="19"/>
      <c r="T12" s="18"/>
      <c r="U12" s="18"/>
      <c r="V12" s="18"/>
      <c r="W12" s="18"/>
      <c r="X12" s="18"/>
      <c r="Y12" s="18"/>
      <c r="Z12" s="18"/>
      <c r="AA12" s="18"/>
      <c r="AB12" s="18"/>
      <c r="AC12" s="18"/>
      <c r="AD12" s="18"/>
      <c r="AE12" s="18"/>
      <c r="AF12" s="18"/>
      <c r="AG12" s="18"/>
      <c r="AH12" s="18"/>
      <c r="AI12" s="18"/>
      <c r="AJ12" s="18"/>
      <c r="AK12" s="18"/>
      <c r="AL12" s="22"/>
    </row>
    <row r="14" spans="1:38" ht="15.75" x14ac:dyDescent="0.25">
      <c r="A14" s="14"/>
      <c r="B14" s="11"/>
    </row>
    <row r="15" spans="1:38" x14ac:dyDescent="0.25">
      <c r="A15" s="15"/>
      <c r="B15" s="11"/>
    </row>
    <row r="16" spans="1:38" x14ac:dyDescent="0.25">
      <c r="A16" s="15"/>
      <c r="B16" s="11"/>
    </row>
    <row r="17" spans="1:2" x14ac:dyDescent="0.25">
      <c r="A17" s="15"/>
      <c r="B17" s="11"/>
    </row>
    <row r="18" spans="1:2" x14ac:dyDescent="0.25">
      <c r="A18" s="15"/>
      <c r="B18" s="11"/>
    </row>
    <row r="19" spans="1:2" x14ac:dyDescent="0.25">
      <c r="A19" s="15"/>
      <c r="B19" s="11"/>
    </row>
    <row r="20" spans="1:2" x14ac:dyDescent="0.25">
      <c r="A20" s="15"/>
    </row>
    <row r="21" spans="1:2" x14ac:dyDescent="0.25">
      <c r="A21" s="15"/>
    </row>
    <row r="22" spans="1:2" x14ac:dyDescent="0.25">
      <c r="A22" s="15"/>
    </row>
    <row r="23" spans="1:2" x14ac:dyDescent="0.25">
      <c r="A23" s="15"/>
    </row>
    <row r="24" spans="1:2" x14ac:dyDescent="0.25">
      <c r="A24" s="15"/>
    </row>
    <row r="25" spans="1:2" x14ac:dyDescent="0.25">
      <c r="A25" s="15"/>
    </row>
    <row r="26" spans="1:2" x14ac:dyDescent="0.25">
      <c r="A26" s="15"/>
    </row>
    <row r="27" spans="1:2" x14ac:dyDescent="0.25">
      <c r="A27" s="15"/>
    </row>
    <row r="28" spans="1:2" x14ac:dyDescent="0.25">
      <c r="A28" s="15"/>
    </row>
    <row r="29" spans="1:2" x14ac:dyDescent="0.25">
      <c r="A29" s="15"/>
    </row>
    <row r="30" spans="1:2" x14ac:dyDescent="0.25">
      <c r="A30" s="15"/>
    </row>
  </sheetData>
  <pageMargins left="0.74803149606299213" right="0.74803149606299213" top="0.98425196850393704" bottom="0.98425196850393704" header="0.51181102362204722" footer="0.51181102362204722"/>
  <pageSetup paperSize="9" scale="65" fitToWidth="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6719E-7999-4533-BB49-EF5ADE47FF88}">
  <dimension ref="A1:A17"/>
  <sheetViews>
    <sheetView topLeftCell="A4" zoomScale="80" zoomScaleNormal="80" workbookViewId="0">
      <selection activeCell="A3" sqref="A3"/>
    </sheetView>
  </sheetViews>
  <sheetFormatPr defaultRowHeight="15.75" x14ac:dyDescent="0.25"/>
  <cols>
    <col min="1" max="1" width="255.5" customWidth="1"/>
  </cols>
  <sheetData>
    <row r="1" spans="1:1" x14ac:dyDescent="0.25">
      <c r="A1" s="34" t="s">
        <v>530</v>
      </c>
    </row>
    <row r="2" spans="1:1" x14ac:dyDescent="0.25">
      <c r="A2" s="34"/>
    </row>
    <row r="3" spans="1:1" ht="31.5" x14ac:dyDescent="0.25">
      <c r="A3" s="6" t="s">
        <v>293</v>
      </c>
    </row>
    <row r="4" spans="1:1" x14ac:dyDescent="0.25">
      <c r="A4" s="6"/>
    </row>
    <row r="5" spans="1:1" x14ac:dyDescent="0.25">
      <c r="A5" s="6" t="s">
        <v>531</v>
      </c>
    </row>
    <row r="6" spans="1:1" x14ac:dyDescent="0.25">
      <c r="A6" s="6"/>
    </row>
    <row r="7" spans="1:1" x14ac:dyDescent="0.25">
      <c r="A7" s="6" t="s">
        <v>325</v>
      </c>
    </row>
    <row r="8" spans="1:1" x14ac:dyDescent="0.25">
      <c r="A8" s="6"/>
    </row>
    <row r="9" spans="1:1" x14ac:dyDescent="0.25">
      <c r="A9" s="6" t="s">
        <v>292</v>
      </c>
    </row>
    <row r="10" spans="1:1" x14ac:dyDescent="0.25">
      <c r="A10" s="6"/>
    </row>
    <row r="11" spans="1:1" x14ac:dyDescent="0.25">
      <c r="A11" s="6" t="s">
        <v>294</v>
      </c>
    </row>
    <row r="12" spans="1:1" x14ac:dyDescent="0.25">
      <c r="A12" s="6"/>
    </row>
    <row r="13" spans="1:1" ht="33" customHeight="1" x14ac:dyDescent="0.25">
      <c r="A13" s="6" t="s">
        <v>309</v>
      </c>
    </row>
    <row r="14" spans="1:1" x14ac:dyDescent="0.25">
      <c r="A14" s="6"/>
    </row>
    <row r="15" spans="1:1" x14ac:dyDescent="0.25">
      <c r="A15" s="6" t="s">
        <v>333</v>
      </c>
    </row>
    <row r="16" spans="1:1" x14ac:dyDescent="0.25">
      <c r="A16" s="6"/>
    </row>
    <row r="17" spans="1:1" x14ac:dyDescent="0.25">
      <c r="A17" s="6" t="s">
        <v>532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6DC5D-7617-4784-8511-2DD672A7F654}">
  <dimension ref="A1:B12"/>
  <sheetViews>
    <sheetView zoomScale="80" zoomScaleNormal="80" workbookViewId="0">
      <selection activeCell="A5" sqref="A5"/>
    </sheetView>
  </sheetViews>
  <sheetFormatPr defaultRowHeight="15.75" x14ac:dyDescent="0.25"/>
  <cols>
    <col min="1" max="1" width="241.5" customWidth="1"/>
    <col min="2" max="2" width="42.25" customWidth="1"/>
  </cols>
  <sheetData>
    <row r="1" spans="1:2" s="6" customFormat="1" x14ac:dyDescent="0.25">
      <c r="A1" s="24" t="s">
        <v>290</v>
      </c>
      <c r="B1" s="35" t="s">
        <v>593</v>
      </c>
    </row>
    <row r="2" spans="1:2" s="6" customFormat="1" x14ac:dyDescent="0.25">
      <c r="A2" s="23" t="s">
        <v>818</v>
      </c>
      <c r="B2" s="36" t="s">
        <v>594</v>
      </c>
    </row>
    <row r="3" spans="1:2" s="6" customFormat="1" x14ac:dyDescent="0.25">
      <c r="A3" s="23" t="s">
        <v>819</v>
      </c>
      <c r="B3" s="36" t="s">
        <v>595</v>
      </c>
    </row>
    <row r="4" spans="1:2" s="6" customFormat="1" ht="31.5" x14ac:dyDescent="0.25">
      <c r="A4" s="23" t="s">
        <v>536</v>
      </c>
      <c r="B4" s="36" t="s">
        <v>596</v>
      </c>
    </row>
    <row r="5" spans="1:2" s="6" customFormat="1" x14ac:dyDescent="0.25">
      <c r="A5" s="23" t="s">
        <v>799</v>
      </c>
      <c r="B5" s="36" t="s">
        <v>597</v>
      </c>
    </row>
    <row r="6" spans="1:2" s="6" customFormat="1" x14ac:dyDescent="0.25">
      <c r="A6" s="23" t="s">
        <v>778</v>
      </c>
      <c r="B6" s="36" t="s">
        <v>598</v>
      </c>
    </row>
    <row r="7" spans="1:2" s="6" customFormat="1" x14ac:dyDescent="0.25">
      <c r="A7" s="23" t="s">
        <v>800</v>
      </c>
      <c r="B7" s="36" t="s">
        <v>599</v>
      </c>
    </row>
    <row r="8" spans="1:2" s="6" customFormat="1" x14ac:dyDescent="0.25">
      <c r="A8" s="23" t="s">
        <v>537</v>
      </c>
      <c r="B8" s="36"/>
    </row>
    <row r="9" spans="1:2" s="6" customFormat="1" x14ac:dyDescent="0.25">
      <c r="A9" s="23" t="s">
        <v>543</v>
      </c>
      <c r="B9" s="36" t="s">
        <v>600</v>
      </c>
    </row>
    <row r="10" spans="1:2" s="6" customFormat="1" ht="47.25" x14ac:dyDescent="0.25">
      <c r="A10" s="23" t="s">
        <v>545</v>
      </c>
      <c r="B10" s="36" t="s">
        <v>601</v>
      </c>
    </row>
    <row r="11" spans="1:2" s="6" customFormat="1" ht="31.5" x14ac:dyDescent="0.25">
      <c r="A11" s="23" t="s">
        <v>553</v>
      </c>
      <c r="B11" s="36" t="s">
        <v>602</v>
      </c>
    </row>
    <row r="12" spans="1:2" s="6" customFormat="1" ht="31.5" x14ac:dyDescent="0.25">
      <c r="A12" s="23" t="s">
        <v>559</v>
      </c>
      <c r="B12" s="36" t="s">
        <v>603</v>
      </c>
    </row>
  </sheetData>
  <hyperlinks>
    <hyperlink ref="B7" r:id="rId1" xr:uid="{AFA29066-9A5D-40A5-97EA-632BB35BBEDB}"/>
    <hyperlink ref="B2" r:id="rId2" xr:uid="{1122A847-20D3-46D5-9666-9A3AC44272D2}"/>
    <hyperlink ref="B3" r:id="rId3" xr:uid="{F6707A49-AE16-4520-BA4F-B79B77DBC73E}"/>
    <hyperlink ref="B4" r:id="rId4" xr:uid="{971BB09D-4779-4399-B16D-483B0D0441AB}"/>
    <hyperlink ref="B5" r:id="rId5" xr:uid="{79B824E4-BC9B-4F8B-A146-821F44891B4F}"/>
    <hyperlink ref="B12" r:id="rId6" xr:uid="{BE4E603B-766E-46F4-BB9D-C1B4FCFA6C77}"/>
    <hyperlink ref="B10" r:id="rId7" xr:uid="{BF1ADD63-F3B5-403D-B9FD-0BBE38010F97}"/>
    <hyperlink ref="B11" r:id="rId8" xr:uid="{E8D93447-3573-4796-915B-AD114C78DE8F}"/>
    <hyperlink ref="B6" r:id="rId9" xr:uid="{5472C7EE-8143-4FA4-A498-E78536759FCE}"/>
    <hyperlink ref="B9" r:id="rId10" xr:uid="{C03F6DFB-8666-4D1A-9699-E36190B0E9A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D1FBB-9D6B-4AF3-AC9C-4558FCE65170}">
  <dimension ref="A1:B167"/>
  <sheetViews>
    <sheetView topLeftCell="A147" workbookViewId="0">
      <selection activeCell="A167" sqref="A167"/>
    </sheetView>
  </sheetViews>
  <sheetFormatPr defaultRowHeight="15.75" x14ac:dyDescent="0.25"/>
  <cols>
    <col min="1" max="1" width="142.625" bestFit="1" customWidth="1"/>
    <col min="2" max="2" width="24.125" bestFit="1" customWidth="1"/>
  </cols>
  <sheetData>
    <row r="1" spans="1:1" x14ac:dyDescent="0.25">
      <c r="A1" s="38" t="s">
        <v>646</v>
      </c>
    </row>
    <row r="2" spans="1:1" x14ac:dyDescent="0.25">
      <c r="A2" t="s">
        <v>647</v>
      </c>
    </row>
    <row r="3" spans="1:1" x14ac:dyDescent="0.25">
      <c r="A3" t="s">
        <v>650</v>
      </c>
    </row>
    <row r="4" spans="1:1" x14ac:dyDescent="0.25">
      <c r="A4" t="s">
        <v>648</v>
      </c>
    </row>
    <row r="5" spans="1:1" x14ac:dyDescent="0.25">
      <c r="A5" s="38" t="s">
        <v>649</v>
      </c>
    </row>
    <row r="6" spans="1:1" x14ac:dyDescent="0.25">
      <c r="A6" t="s">
        <v>651</v>
      </c>
    </row>
    <row r="7" spans="1:1" x14ac:dyDescent="0.25">
      <c r="A7" s="38" t="s">
        <v>666</v>
      </c>
    </row>
    <row r="8" spans="1:1" x14ac:dyDescent="0.25">
      <c r="A8" t="s">
        <v>665</v>
      </c>
    </row>
    <row r="9" spans="1:1" x14ac:dyDescent="0.25">
      <c r="A9" t="s">
        <v>652</v>
      </c>
    </row>
    <row r="10" spans="1:1" x14ac:dyDescent="0.25">
      <c r="A10" t="s">
        <v>654</v>
      </c>
    </row>
    <row r="11" spans="1:1" x14ac:dyDescent="0.25">
      <c r="A11" t="s">
        <v>657</v>
      </c>
    </row>
    <row r="12" spans="1:1" x14ac:dyDescent="0.25">
      <c r="A12" t="s">
        <v>653</v>
      </c>
    </row>
    <row r="13" spans="1:1" x14ac:dyDescent="0.25">
      <c r="A13" t="s">
        <v>655</v>
      </c>
    </row>
    <row r="14" spans="1:1" x14ac:dyDescent="0.25">
      <c r="A14" t="s">
        <v>656</v>
      </c>
    </row>
    <row r="15" spans="1:1" x14ac:dyDescent="0.25">
      <c r="A15" t="s">
        <v>658</v>
      </c>
    </row>
    <row r="16" spans="1:1" x14ac:dyDescent="0.25">
      <c r="A16" t="s">
        <v>659</v>
      </c>
    </row>
    <row r="17" spans="1:1" x14ac:dyDescent="0.25">
      <c r="A17" s="38" t="s">
        <v>662</v>
      </c>
    </row>
    <row r="18" spans="1:1" x14ac:dyDescent="0.25">
      <c r="A18" t="s">
        <v>667</v>
      </c>
    </row>
    <row r="19" spans="1:1" x14ac:dyDescent="0.25">
      <c r="A19" s="38" t="s">
        <v>661</v>
      </c>
    </row>
    <row r="20" spans="1:1" x14ac:dyDescent="0.25">
      <c r="A20" t="s">
        <v>660</v>
      </c>
    </row>
    <row r="21" spans="1:1" x14ac:dyDescent="0.25">
      <c r="A21" s="38" t="s">
        <v>633</v>
      </c>
    </row>
    <row r="22" spans="1:1" x14ac:dyDescent="0.25">
      <c r="A22" t="s">
        <v>664</v>
      </c>
    </row>
    <row r="23" spans="1:1" x14ac:dyDescent="0.25">
      <c r="A23" t="s">
        <v>634</v>
      </c>
    </row>
    <row r="24" spans="1:1" x14ac:dyDescent="0.25">
      <c r="A24" s="38" t="s">
        <v>668</v>
      </c>
    </row>
    <row r="25" spans="1:1" x14ac:dyDescent="0.25">
      <c r="A25" t="s">
        <v>663</v>
      </c>
    </row>
    <row r="26" spans="1:1" x14ac:dyDescent="0.25">
      <c r="A26" t="s">
        <v>680</v>
      </c>
    </row>
    <row r="27" spans="1:1" x14ac:dyDescent="0.25">
      <c r="A27" t="s">
        <v>674</v>
      </c>
    </row>
    <row r="28" spans="1:1" x14ac:dyDescent="0.25">
      <c r="A28" t="s">
        <v>677</v>
      </c>
    </row>
    <row r="29" spans="1:1" x14ac:dyDescent="0.25">
      <c r="A29" s="38" t="s">
        <v>678</v>
      </c>
    </row>
    <row r="30" spans="1:1" x14ac:dyDescent="0.25">
      <c r="A30" t="s">
        <v>679</v>
      </c>
    </row>
    <row r="31" spans="1:1" x14ac:dyDescent="0.25">
      <c r="A31" t="s">
        <v>681</v>
      </c>
    </row>
    <row r="33" spans="1:2" x14ac:dyDescent="0.25">
      <c r="A33" s="38" t="s">
        <v>682</v>
      </c>
    </row>
    <row r="34" spans="1:2" x14ac:dyDescent="0.25">
      <c r="A34" t="s">
        <v>686</v>
      </c>
    </row>
    <row r="35" spans="1:2" x14ac:dyDescent="0.25">
      <c r="A35" t="s">
        <v>683</v>
      </c>
    </row>
    <row r="36" spans="1:2" x14ac:dyDescent="0.25">
      <c r="A36" t="s">
        <v>684</v>
      </c>
    </row>
    <row r="38" spans="1:2" x14ac:dyDescent="0.25">
      <c r="A38" s="38" t="s">
        <v>725</v>
      </c>
    </row>
    <row r="39" spans="1:2" x14ac:dyDescent="0.25">
      <c r="A39" t="s">
        <v>704</v>
      </c>
    </row>
    <row r="40" spans="1:2" x14ac:dyDescent="0.25">
      <c r="A40" s="38" t="s">
        <v>703</v>
      </c>
    </row>
    <row r="41" spans="1:2" x14ac:dyDescent="0.25">
      <c r="A41" t="s">
        <v>700</v>
      </c>
      <c r="B41" s="40" t="s">
        <v>722</v>
      </c>
    </row>
    <row r="42" spans="1:2" x14ac:dyDescent="0.25">
      <c r="A42" t="s">
        <v>40</v>
      </c>
      <c r="B42" s="40" t="s">
        <v>688</v>
      </c>
    </row>
    <row r="43" spans="1:2" x14ac:dyDescent="0.25">
      <c r="A43" t="s">
        <v>447</v>
      </c>
      <c r="B43" s="40" t="s">
        <v>227</v>
      </c>
    </row>
    <row r="44" spans="1:2" x14ac:dyDescent="0.25">
      <c r="A44" t="s">
        <v>607</v>
      </c>
      <c r="B44" s="40" t="s">
        <v>690</v>
      </c>
    </row>
    <row r="45" spans="1:2" x14ac:dyDescent="0.25">
      <c r="A45" t="s">
        <v>124</v>
      </c>
      <c r="B45" s="40" t="s">
        <v>691</v>
      </c>
    </row>
    <row r="46" spans="1:2" x14ac:dyDescent="0.25">
      <c r="A46" t="s">
        <v>121</v>
      </c>
      <c r="B46" s="40" t="s">
        <v>692</v>
      </c>
    </row>
    <row r="47" spans="1:2" x14ac:dyDescent="0.25">
      <c r="A47" t="s">
        <v>458</v>
      </c>
      <c r="B47" s="40" t="s">
        <v>701</v>
      </c>
    </row>
    <row r="48" spans="1:2" x14ac:dyDescent="0.25">
      <c r="A48" t="s">
        <v>610</v>
      </c>
      <c r="B48" s="40" t="s">
        <v>694</v>
      </c>
    </row>
    <row r="49" spans="1:2" x14ac:dyDescent="0.25">
      <c r="A49" t="s">
        <v>362</v>
      </c>
      <c r="B49" s="40" t="s">
        <v>695</v>
      </c>
    </row>
    <row r="50" spans="1:2" x14ac:dyDescent="0.25">
      <c r="A50" t="s">
        <v>702</v>
      </c>
      <c r="B50" s="41" t="s">
        <v>696</v>
      </c>
    </row>
    <row r="51" spans="1:2" x14ac:dyDescent="0.25">
      <c r="A51" t="s">
        <v>170</v>
      </c>
      <c r="B51" s="41" t="s">
        <v>697</v>
      </c>
    </row>
    <row r="52" spans="1:2" x14ac:dyDescent="0.25">
      <c r="A52" t="s">
        <v>699</v>
      </c>
    </row>
    <row r="53" spans="1:2" x14ac:dyDescent="0.25">
      <c r="A53" s="38" t="s">
        <v>705</v>
      </c>
    </row>
    <row r="54" spans="1:2" x14ac:dyDescent="0.25">
      <c r="A54" t="s">
        <v>706</v>
      </c>
    </row>
    <row r="55" spans="1:2" x14ac:dyDescent="0.25">
      <c r="A55" t="s">
        <v>709</v>
      </c>
    </row>
    <row r="56" spans="1:2" x14ac:dyDescent="0.25">
      <c r="A56" t="s">
        <v>707</v>
      </c>
    </row>
    <row r="57" spans="1:2" x14ac:dyDescent="0.25">
      <c r="A57" t="s">
        <v>708</v>
      </c>
    </row>
    <row r="58" spans="1:2" x14ac:dyDescent="0.25">
      <c r="A58" t="s">
        <v>721</v>
      </c>
    </row>
    <row r="59" spans="1:2" x14ac:dyDescent="0.25">
      <c r="A59" t="s">
        <v>710</v>
      </c>
    </row>
    <row r="60" spans="1:2" x14ac:dyDescent="0.25">
      <c r="A60" t="s">
        <v>711</v>
      </c>
    </row>
    <row r="61" spans="1:2" x14ac:dyDescent="0.25">
      <c r="A61" t="s">
        <v>712</v>
      </c>
    </row>
    <row r="62" spans="1:2" x14ac:dyDescent="0.25">
      <c r="A62" t="s">
        <v>713</v>
      </c>
    </row>
    <row r="63" spans="1:2" x14ac:dyDescent="0.25">
      <c r="A63" t="s">
        <v>714</v>
      </c>
    </row>
    <row r="64" spans="1:2" x14ac:dyDescent="0.25">
      <c r="A64" t="s">
        <v>715</v>
      </c>
    </row>
    <row r="65" spans="1:1" x14ac:dyDescent="0.25">
      <c r="A65" t="s">
        <v>716</v>
      </c>
    </row>
    <row r="66" spans="1:1" x14ac:dyDescent="0.25">
      <c r="A66" t="s">
        <v>717</v>
      </c>
    </row>
    <row r="67" spans="1:1" x14ac:dyDescent="0.25">
      <c r="A67" t="s">
        <v>718</v>
      </c>
    </row>
    <row r="68" spans="1:1" x14ac:dyDescent="0.25">
      <c r="A68" t="s">
        <v>719</v>
      </c>
    </row>
    <row r="69" spans="1:1" x14ac:dyDescent="0.25">
      <c r="A69" t="s">
        <v>720</v>
      </c>
    </row>
    <row r="70" spans="1:1" x14ac:dyDescent="0.25">
      <c r="A70" t="s">
        <v>723</v>
      </c>
    </row>
    <row r="72" spans="1:1" x14ac:dyDescent="0.25">
      <c r="A72" s="38" t="s">
        <v>726</v>
      </c>
    </row>
    <row r="73" spans="1:1" x14ac:dyDescent="0.25">
      <c r="A73" t="s">
        <v>727</v>
      </c>
    </row>
    <row r="74" spans="1:1" x14ac:dyDescent="0.25">
      <c r="A74" t="s">
        <v>728</v>
      </c>
    </row>
    <row r="75" spans="1:1" x14ac:dyDescent="0.25">
      <c r="A75" t="s">
        <v>729</v>
      </c>
    </row>
    <row r="76" spans="1:1" x14ac:dyDescent="0.25">
      <c r="A76" t="s">
        <v>731</v>
      </c>
    </row>
    <row r="77" spans="1:1" ht="31.5" x14ac:dyDescent="0.25">
      <c r="A77" s="6" t="s">
        <v>735</v>
      </c>
    </row>
    <row r="78" spans="1:1" ht="31.5" x14ac:dyDescent="0.25">
      <c r="A78" s="6" t="s">
        <v>733</v>
      </c>
    </row>
    <row r="79" spans="1:1" x14ac:dyDescent="0.25">
      <c r="A79" t="s">
        <v>737</v>
      </c>
    </row>
    <row r="81" spans="1:1" x14ac:dyDescent="0.25">
      <c r="A81" s="38" t="s">
        <v>738</v>
      </c>
    </row>
    <row r="82" spans="1:1" x14ac:dyDescent="0.25">
      <c r="A82" t="s">
        <v>747</v>
      </c>
    </row>
    <row r="83" spans="1:1" x14ac:dyDescent="0.25">
      <c r="A83" t="s">
        <v>746</v>
      </c>
    </row>
    <row r="85" spans="1:1" x14ac:dyDescent="0.25">
      <c r="A85" s="38" t="s">
        <v>748</v>
      </c>
    </row>
    <row r="86" spans="1:1" x14ac:dyDescent="0.25">
      <c r="A86" t="s">
        <v>749</v>
      </c>
    </row>
    <row r="88" spans="1:1" x14ac:dyDescent="0.25">
      <c r="A88" s="38" t="s">
        <v>752</v>
      </c>
    </row>
    <row r="89" spans="1:1" x14ac:dyDescent="0.25">
      <c r="A89" t="s">
        <v>753</v>
      </c>
    </row>
    <row r="90" spans="1:1" x14ac:dyDescent="0.25">
      <c r="A90" t="s">
        <v>754</v>
      </c>
    </row>
    <row r="91" spans="1:1" x14ac:dyDescent="0.25">
      <c r="A91" t="s">
        <v>759</v>
      </c>
    </row>
    <row r="92" spans="1:1" x14ac:dyDescent="0.25">
      <c r="A92" t="s">
        <v>755</v>
      </c>
    </row>
    <row r="93" spans="1:1" x14ac:dyDescent="0.25">
      <c r="A93" t="s">
        <v>756</v>
      </c>
    </row>
    <row r="94" spans="1:1" x14ac:dyDescent="0.25">
      <c r="A94" t="s">
        <v>757</v>
      </c>
    </row>
    <row r="95" spans="1:1" x14ac:dyDescent="0.25">
      <c r="A95" t="s">
        <v>758</v>
      </c>
    </row>
    <row r="97" spans="1:1" x14ac:dyDescent="0.25">
      <c r="A97" s="38" t="s">
        <v>760</v>
      </c>
    </row>
    <row r="98" spans="1:1" x14ac:dyDescent="0.25">
      <c r="A98" t="s">
        <v>761</v>
      </c>
    </row>
    <row r="100" spans="1:1" x14ac:dyDescent="0.25">
      <c r="A100" s="38" t="s">
        <v>762</v>
      </c>
    </row>
    <row r="101" spans="1:1" x14ac:dyDescent="0.25">
      <c r="A101" t="s">
        <v>764</v>
      </c>
    </row>
    <row r="102" spans="1:1" x14ac:dyDescent="0.25">
      <c r="A102" t="s">
        <v>763</v>
      </c>
    </row>
    <row r="103" spans="1:1" x14ac:dyDescent="0.25">
      <c r="A103" t="s">
        <v>772</v>
      </c>
    </row>
    <row r="104" spans="1:1" x14ac:dyDescent="0.25">
      <c r="A104" t="s">
        <v>777</v>
      </c>
    </row>
    <row r="106" spans="1:1" x14ac:dyDescent="0.25">
      <c r="A106" s="38" t="s">
        <v>779</v>
      </c>
    </row>
    <row r="107" spans="1:1" x14ac:dyDescent="0.25">
      <c r="A107" t="s">
        <v>780</v>
      </c>
    </row>
    <row r="109" spans="1:1" x14ac:dyDescent="0.25">
      <c r="A109" s="38" t="s">
        <v>781</v>
      </c>
    </row>
    <row r="110" spans="1:1" x14ac:dyDescent="0.25">
      <c r="A110" t="s">
        <v>782</v>
      </c>
    </row>
    <row r="112" spans="1:1" x14ac:dyDescent="0.25">
      <c r="A112" s="38" t="s">
        <v>797</v>
      </c>
    </row>
    <row r="113" spans="1:1" x14ac:dyDescent="0.25">
      <c r="A113" t="s">
        <v>798</v>
      </c>
    </row>
    <row r="115" spans="1:1" x14ac:dyDescent="0.25">
      <c r="A115" s="38" t="s">
        <v>801</v>
      </c>
    </row>
    <row r="116" spans="1:1" x14ac:dyDescent="0.25">
      <c r="A116" t="s">
        <v>802</v>
      </c>
    </row>
    <row r="118" spans="1:1" x14ac:dyDescent="0.25">
      <c r="A118" s="38" t="s">
        <v>803</v>
      </c>
    </row>
    <row r="119" spans="1:1" x14ac:dyDescent="0.25">
      <c r="A119" t="s">
        <v>809</v>
      </c>
    </row>
    <row r="120" spans="1:1" x14ac:dyDescent="0.25">
      <c r="A120" t="s">
        <v>810</v>
      </c>
    </row>
    <row r="121" spans="1:1" x14ac:dyDescent="0.25">
      <c r="A121" t="s">
        <v>811</v>
      </c>
    </row>
    <row r="123" spans="1:1" x14ac:dyDescent="0.25">
      <c r="A123" s="38" t="s">
        <v>812</v>
      </c>
    </row>
    <row r="124" spans="1:1" x14ac:dyDescent="0.25">
      <c r="A124" t="s">
        <v>813</v>
      </c>
    </row>
    <row r="125" spans="1:1" x14ac:dyDescent="0.25">
      <c r="A125" t="s">
        <v>824</v>
      </c>
    </row>
    <row r="127" spans="1:1" x14ac:dyDescent="0.25">
      <c r="A127" s="38" t="s">
        <v>827</v>
      </c>
    </row>
    <row r="128" spans="1:1" x14ac:dyDescent="0.25">
      <c r="A128" t="s">
        <v>828</v>
      </c>
    </row>
    <row r="130" spans="1:1" x14ac:dyDescent="0.25">
      <c r="A130" s="38" t="s">
        <v>829</v>
      </c>
    </row>
    <row r="131" spans="1:1" x14ac:dyDescent="0.25">
      <c r="A131" t="s">
        <v>830</v>
      </c>
    </row>
    <row r="133" spans="1:1" x14ac:dyDescent="0.25">
      <c r="A133" s="38" t="s">
        <v>831</v>
      </c>
    </row>
    <row r="134" spans="1:1" x14ac:dyDescent="0.25">
      <c r="A134" t="s">
        <v>832</v>
      </c>
    </row>
    <row r="136" spans="1:1" x14ac:dyDescent="0.25">
      <c r="A136" s="38" t="s">
        <v>834</v>
      </c>
    </row>
    <row r="137" spans="1:1" ht="31.5" x14ac:dyDescent="0.25">
      <c r="A137" s="6" t="s">
        <v>835</v>
      </c>
    </row>
    <row r="138" spans="1:1" x14ac:dyDescent="0.25">
      <c r="A138" t="s">
        <v>836</v>
      </c>
    </row>
    <row r="140" spans="1:1" x14ac:dyDescent="0.25">
      <c r="A140" s="38" t="s">
        <v>910</v>
      </c>
    </row>
    <row r="141" spans="1:1" x14ac:dyDescent="0.25">
      <c r="A141" t="s">
        <v>911</v>
      </c>
    </row>
    <row r="143" spans="1:1" x14ac:dyDescent="0.25">
      <c r="A143" s="38" t="s">
        <v>912</v>
      </c>
    </row>
    <row r="144" spans="1:1" x14ac:dyDescent="0.25">
      <c r="A144" t="s">
        <v>913</v>
      </c>
    </row>
    <row r="145" spans="1:1" x14ac:dyDescent="0.25">
      <c r="A145" t="s">
        <v>914</v>
      </c>
    </row>
    <row r="146" spans="1:1" x14ac:dyDescent="0.25">
      <c r="A146" t="s">
        <v>915</v>
      </c>
    </row>
    <row r="147" spans="1:1" x14ac:dyDescent="0.25">
      <c r="A147" t="s">
        <v>916</v>
      </c>
    </row>
    <row r="149" spans="1:1" x14ac:dyDescent="0.25">
      <c r="A149" s="38" t="s">
        <v>922</v>
      </c>
    </row>
    <row r="150" spans="1:1" x14ac:dyDescent="0.25">
      <c r="A150" t="s">
        <v>919</v>
      </c>
    </row>
    <row r="152" spans="1:1" x14ac:dyDescent="0.25">
      <c r="A152" s="38" t="s">
        <v>921</v>
      </c>
    </row>
    <row r="153" spans="1:1" ht="31.5" x14ac:dyDescent="0.25">
      <c r="A153" s="6" t="s">
        <v>924</v>
      </c>
    </row>
    <row r="155" spans="1:1" x14ac:dyDescent="0.25">
      <c r="A155" s="38" t="s">
        <v>927</v>
      </c>
    </row>
    <row r="156" spans="1:1" ht="60" x14ac:dyDescent="0.25">
      <c r="A156" s="52" t="s">
        <v>928</v>
      </c>
    </row>
    <row r="157" spans="1:1" x14ac:dyDescent="0.25">
      <c r="A157" s="52"/>
    </row>
    <row r="158" spans="1:1" x14ac:dyDescent="0.25">
      <c r="A158" s="53" t="s">
        <v>930</v>
      </c>
    </row>
    <row r="159" spans="1:1" x14ac:dyDescent="0.25">
      <c r="A159" s="52" t="s">
        <v>931</v>
      </c>
    </row>
    <row r="160" spans="1:1" ht="45" x14ac:dyDescent="0.25">
      <c r="A160" s="52" t="s">
        <v>932</v>
      </c>
    </row>
    <row r="162" spans="1:1" x14ac:dyDescent="0.25">
      <c r="A162" s="53" t="s">
        <v>940</v>
      </c>
    </row>
    <row r="163" spans="1:1" x14ac:dyDescent="0.25">
      <c r="A163" t="s">
        <v>941</v>
      </c>
    </row>
    <row r="164" spans="1:1" x14ac:dyDescent="0.25">
      <c r="A164" t="s">
        <v>942</v>
      </c>
    </row>
    <row r="165" spans="1:1" x14ac:dyDescent="0.25">
      <c r="A165" t="s">
        <v>943</v>
      </c>
    </row>
    <row r="167" spans="1:1" x14ac:dyDescent="0.25">
      <c r="A167" t="s">
        <v>944</v>
      </c>
    </row>
  </sheetData>
  <phoneticPr fontId="3"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 Inhaler CF v2.35</vt:lpstr>
      <vt:lpstr>Methodology</vt:lpstr>
      <vt:lpstr>Non-asthma or COPD inhalers</vt:lpstr>
      <vt:lpstr>Additional information</vt:lpstr>
      <vt:lpstr>References</vt:lpstr>
      <vt:lpstr>Changes 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Homan</dc:creator>
  <cp:lastModifiedBy>Karen Homan</cp:lastModifiedBy>
  <dcterms:created xsi:type="dcterms:W3CDTF">2021-06-28T08:20:16Z</dcterms:created>
  <dcterms:modified xsi:type="dcterms:W3CDTF">2024-11-27T11:23:30Z</dcterms:modified>
</cp:coreProperties>
</file>